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5823"/>
  <workbookPr showInkAnnotation="0" autoCompressPictures="0"/>
  <bookViews>
    <workbookView xWindow="0" yWindow="-460" windowWidth="40960" windowHeight="23040" tabRatio="500"/>
  </bookViews>
  <sheets>
    <sheet name="Budget" sheetId="1" r:id="rId1"/>
    <sheet name="Legal fees" sheetId="2" r:id="rId2"/>
    <sheet name="Ops Costs" sheetId="3" r:id="rId3"/>
    <sheet name="Prog Dev" sheetId="4" r:id="rId4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74" i="1" l="1"/>
  <c r="K75" i="1"/>
  <c r="K74" i="1"/>
  <c r="K12" i="1"/>
  <c r="K10" i="1"/>
  <c r="H41" i="3"/>
  <c r="H39" i="3"/>
  <c r="K122" i="1"/>
  <c r="I122" i="1"/>
  <c r="E5" i="2"/>
  <c r="E27" i="1"/>
  <c r="E7" i="2"/>
  <c r="E29" i="1"/>
  <c r="E38" i="1"/>
  <c r="E73" i="1"/>
  <c r="E76" i="1"/>
  <c r="E82" i="1"/>
  <c r="E87" i="1"/>
  <c r="E99" i="1"/>
  <c r="E101" i="1"/>
  <c r="E102" i="1"/>
  <c r="E122" i="1"/>
  <c r="E164" i="1"/>
  <c r="E166" i="1"/>
  <c r="E167" i="1"/>
  <c r="E168" i="1"/>
  <c r="K167" i="1"/>
  <c r="K160" i="1"/>
  <c r="G38" i="1"/>
  <c r="G52" i="1"/>
  <c r="G73" i="1"/>
  <c r="G75" i="1"/>
  <c r="K159" i="1"/>
  <c r="K158" i="1"/>
  <c r="K157" i="1"/>
  <c r="K153" i="1"/>
  <c r="K152" i="1"/>
  <c r="K149" i="1"/>
  <c r="K148" i="1"/>
  <c r="K145" i="1"/>
  <c r="K143" i="1"/>
  <c r="K142" i="1"/>
  <c r="K139" i="1"/>
  <c r="K138" i="1"/>
  <c r="K137" i="1"/>
  <c r="K136" i="1"/>
  <c r="K132" i="1"/>
  <c r="K131" i="1"/>
  <c r="K144" i="1"/>
  <c r="K15" i="1"/>
  <c r="K161" i="1"/>
  <c r="K162" i="1"/>
  <c r="K121" i="1"/>
  <c r="K117" i="1"/>
  <c r="K112" i="1"/>
  <c r="K108" i="1"/>
  <c r="K87" i="1"/>
  <c r="K38" i="1"/>
  <c r="K46" i="1"/>
  <c r="K52" i="1"/>
  <c r="K58" i="1"/>
  <c r="K71" i="1"/>
  <c r="K73" i="1"/>
  <c r="K76" i="1"/>
  <c r="K164" i="1"/>
  <c r="K166" i="1"/>
  <c r="K168" i="1"/>
  <c r="K150" i="1"/>
  <c r="K146" i="1"/>
  <c r="K140" i="1"/>
  <c r="K134" i="1"/>
  <c r="K127" i="1"/>
  <c r="K101" i="1"/>
  <c r="K96" i="1"/>
  <c r="K102" i="1"/>
  <c r="E91" i="1"/>
  <c r="E92" i="1"/>
  <c r="E96" i="1"/>
  <c r="E83" i="1"/>
  <c r="E84" i="1"/>
  <c r="E121" i="1"/>
  <c r="E117" i="1"/>
  <c r="E112" i="1"/>
  <c r="E108" i="1"/>
  <c r="E24" i="1"/>
  <c r="E25" i="1"/>
  <c r="E26" i="1"/>
  <c r="E28" i="1"/>
  <c r="E30" i="1"/>
  <c r="E31" i="1"/>
  <c r="E34" i="1"/>
  <c r="E71" i="1"/>
  <c r="E58" i="1"/>
  <c r="E52" i="1"/>
  <c r="E46" i="1"/>
  <c r="E153" i="1"/>
  <c r="E154" i="1"/>
  <c r="E155" i="1"/>
  <c r="E156" i="1"/>
  <c r="E161" i="1"/>
  <c r="E150" i="1"/>
  <c r="E146" i="1"/>
  <c r="E139" i="1"/>
  <c r="E140" i="1"/>
  <c r="E134" i="1"/>
  <c r="E162" i="1"/>
  <c r="E127" i="1"/>
  <c r="E5" i="1"/>
  <c r="E15" i="1"/>
  <c r="I142" i="1"/>
  <c r="I143" i="1"/>
  <c r="I144" i="1"/>
  <c r="I146" i="1"/>
  <c r="I121" i="1"/>
  <c r="I117" i="1"/>
  <c r="I112" i="1"/>
  <c r="I108" i="1"/>
  <c r="I87" i="1"/>
  <c r="I157" i="1"/>
  <c r="I158" i="1"/>
  <c r="I160" i="1"/>
  <c r="I161" i="1"/>
  <c r="I162" i="1"/>
  <c r="I38" i="1"/>
  <c r="I46" i="1"/>
  <c r="I52" i="1"/>
  <c r="I58" i="1"/>
  <c r="I71" i="1"/>
  <c r="I73" i="1"/>
  <c r="I76" i="1"/>
  <c r="I164" i="1"/>
  <c r="I15" i="1"/>
  <c r="I166" i="1"/>
  <c r="I152" i="1"/>
  <c r="I148" i="1"/>
  <c r="I150" i="1"/>
  <c r="I137" i="1"/>
  <c r="I138" i="1"/>
  <c r="I140" i="1"/>
  <c r="I134" i="1"/>
  <c r="I127" i="1"/>
  <c r="I101" i="1"/>
  <c r="I96" i="1"/>
  <c r="I102" i="1"/>
  <c r="G58" i="1"/>
  <c r="G46" i="1"/>
  <c r="G71" i="1"/>
  <c r="G159" i="1"/>
  <c r="G152" i="1"/>
  <c r="G153" i="1"/>
  <c r="G157" i="1"/>
  <c r="G158" i="1"/>
  <c r="G160" i="1"/>
  <c r="G161" i="1"/>
  <c r="G149" i="1"/>
  <c r="G148" i="1"/>
  <c r="G150" i="1"/>
  <c r="G142" i="1"/>
  <c r="G143" i="1"/>
  <c r="G144" i="1"/>
  <c r="G145" i="1"/>
  <c r="G146" i="1"/>
  <c r="G136" i="1"/>
  <c r="G137" i="1"/>
  <c r="G138" i="1"/>
  <c r="G139" i="1"/>
  <c r="G140" i="1"/>
  <c r="G131" i="1"/>
  <c r="G132" i="1"/>
  <c r="G134" i="1"/>
  <c r="G162" i="1"/>
  <c r="G121" i="1"/>
  <c r="G117" i="1"/>
  <c r="G112" i="1"/>
  <c r="G108" i="1"/>
  <c r="G101" i="1"/>
  <c r="G96" i="1"/>
  <c r="G87" i="1"/>
  <c r="G102" i="1"/>
  <c r="G122" i="1"/>
  <c r="G164" i="1"/>
  <c r="G127" i="1"/>
  <c r="D121" i="1"/>
  <c r="D117" i="1"/>
  <c r="D112" i="1"/>
  <c r="D108" i="1"/>
  <c r="D101" i="1"/>
  <c r="D96" i="1"/>
  <c r="D87" i="1"/>
  <c r="D102" i="1"/>
  <c r="D122" i="1"/>
  <c r="D28" i="4"/>
  <c r="B28" i="4"/>
  <c r="D21" i="4"/>
  <c r="B21" i="4"/>
  <c r="D16" i="4"/>
  <c r="B16" i="4"/>
  <c r="D7" i="4"/>
  <c r="B7" i="4"/>
  <c r="D62" i="3"/>
  <c r="D64" i="3"/>
  <c r="D58" i="3"/>
  <c r="D56" i="3"/>
  <c r="D59" i="3"/>
  <c r="D65" i="3"/>
  <c r="E62" i="3"/>
  <c r="E64" i="3"/>
  <c r="E58" i="3"/>
  <c r="E56" i="3"/>
  <c r="E59" i="3"/>
  <c r="E65" i="3"/>
  <c r="F62" i="3"/>
  <c r="F64" i="3"/>
  <c r="F58" i="3"/>
  <c r="F56" i="3"/>
  <c r="F59" i="3"/>
  <c r="F65" i="3"/>
  <c r="G62" i="3"/>
  <c r="G64" i="3"/>
  <c r="G58" i="3"/>
  <c r="G56" i="3"/>
  <c r="G59" i="3"/>
  <c r="G65" i="3"/>
  <c r="H62" i="3"/>
  <c r="H64" i="3"/>
  <c r="H58" i="3"/>
  <c r="H56" i="3"/>
  <c r="H59" i="3"/>
  <c r="H65" i="3"/>
  <c r="B66" i="3"/>
  <c r="D45" i="3"/>
  <c r="D47" i="3"/>
  <c r="D41" i="3"/>
  <c r="D39" i="3"/>
  <c r="D42" i="3"/>
  <c r="D48" i="3"/>
  <c r="E45" i="3"/>
  <c r="E47" i="3"/>
  <c r="E41" i="3"/>
  <c r="E39" i="3"/>
  <c r="E42" i="3"/>
  <c r="E48" i="3"/>
  <c r="F45" i="3"/>
  <c r="F47" i="3"/>
  <c r="F41" i="3"/>
  <c r="F39" i="3"/>
  <c r="F42" i="3"/>
  <c r="F48" i="3"/>
  <c r="G45" i="3"/>
  <c r="G47" i="3"/>
  <c r="G41" i="3"/>
  <c r="G39" i="3"/>
  <c r="G42" i="3"/>
  <c r="G48" i="3"/>
  <c r="H45" i="3"/>
  <c r="H47" i="3"/>
  <c r="H42" i="3"/>
  <c r="H48" i="3"/>
  <c r="B49" i="3"/>
  <c r="H28" i="3"/>
  <c r="H30" i="3"/>
  <c r="G12" i="1"/>
  <c r="G11" i="1"/>
  <c r="G10" i="1"/>
  <c r="D157" i="1"/>
  <c r="D158" i="1"/>
  <c r="D160" i="1"/>
  <c r="D161" i="1"/>
  <c r="D150" i="1"/>
  <c r="D146" i="1"/>
  <c r="D140" i="1"/>
  <c r="D134" i="1"/>
  <c r="D162" i="1"/>
  <c r="D71" i="1"/>
  <c r="D58" i="1"/>
  <c r="D52" i="1"/>
  <c r="D46" i="1"/>
  <c r="D38" i="1"/>
  <c r="D73" i="1"/>
  <c r="D76" i="1"/>
  <c r="D127" i="1"/>
  <c r="D164" i="1"/>
  <c r="D15" i="1"/>
  <c r="D166" i="1"/>
  <c r="H25" i="3"/>
  <c r="H31" i="3"/>
  <c r="B32" i="3"/>
  <c r="E31" i="3"/>
  <c r="F31" i="3"/>
  <c r="G31" i="3"/>
  <c r="D31" i="3"/>
  <c r="E25" i="3"/>
  <c r="F25" i="3"/>
  <c r="G25" i="3"/>
  <c r="D25" i="3"/>
  <c r="E22" i="3"/>
  <c r="F22" i="3"/>
  <c r="G22" i="3"/>
  <c r="D22" i="3"/>
  <c r="E30" i="3"/>
  <c r="F30" i="3"/>
  <c r="G30" i="3"/>
  <c r="D30" i="3"/>
  <c r="E28" i="3"/>
  <c r="F28" i="3"/>
  <c r="G28" i="3"/>
  <c r="D28" i="3"/>
  <c r="E24" i="3"/>
  <c r="F24" i="3"/>
  <c r="G24" i="3"/>
  <c r="D24" i="3"/>
  <c r="F3" i="2"/>
  <c r="F4" i="2"/>
  <c r="F5" i="2"/>
  <c r="F6" i="2"/>
  <c r="F7" i="2"/>
  <c r="F8" i="2"/>
  <c r="F9" i="2"/>
  <c r="F2" i="2"/>
  <c r="E3" i="2"/>
  <c r="E4" i="2"/>
  <c r="E6" i="2"/>
  <c r="E8" i="2"/>
  <c r="E9" i="2"/>
  <c r="E2" i="2"/>
  <c r="C3" i="2"/>
  <c r="C2" i="2"/>
  <c r="B11" i="2"/>
  <c r="G15" i="1"/>
  <c r="G76" i="1"/>
  <c r="G166" i="1"/>
  <c r="I167" i="1"/>
  <c r="I168" i="1"/>
  <c r="D168" i="1"/>
  <c r="G167" i="1"/>
  <c r="G168" i="1"/>
</calcChain>
</file>

<file path=xl/sharedStrings.xml><?xml version="1.0" encoding="utf-8"?>
<sst xmlns="http://schemas.openxmlformats.org/spreadsheetml/2006/main" count="633" uniqueCount="267">
  <si>
    <t>NSJWCD  2015-2016 Budget - Draft 4/27/15                                        as of 05/19/14</t>
  </si>
  <si>
    <t>Proposed 2015-2016 w/o water</t>
  </si>
  <si>
    <t>INCOME</t>
  </si>
  <si>
    <t>General Revenue</t>
  </si>
  <si>
    <t>Share of Property Tax Revenue</t>
  </si>
  <si>
    <t>Interest</t>
  </si>
  <si>
    <t xml:space="preserve">Assessments </t>
  </si>
  <si>
    <t>None at this time</t>
  </si>
  <si>
    <t>Water Sales</t>
  </si>
  <si>
    <t xml:space="preserve">South System  </t>
  </si>
  <si>
    <t>City of Lodi</t>
  </si>
  <si>
    <t>Tracy Lake</t>
  </si>
  <si>
    <t>Misc Revenue</t>
  </si>
  <si>
    <t>Grants</t>
  </si>
  <si>
    <t>TOTAL INCOME</t>
  </si>
  <si>
    <t>EXPENSES</t>
  </si>
  <si>
    <t>ADMINISTRATIVE EXPENSES</t>
  </si>
  <si>
    <t>PROFESSIONAL SERVICES</t>
  </si>
  <si>
    <t>S.J. Auditors A/P Charges</t>
  </si>
  <si>
    <t>S.J. County Tax Admin.</t>
  </si>
  <si>
    <t>Accountant</t>
  </si>
  <si>
    <t>Auditor</t>
  </si>
  <si>
    <t>Groundwater level testing</t>
  </si>
  <si>
    <t>District Engineering Consultant</t>
  </si>
  <si>
    <t>Election</t>
  </si>
  <si>
    <t>Subtotal Professional Services</t>
  </si>
  <si>
    <t>WATER RIGHT</t>
  </si>
  <si>
    <t>SWRCB Annual Permit Fee</t>
  </si>
  <si>
    <t>Legal - Water right compliance</t>
  </si>
  <si>
    <t>Subtotal Water Right</t>
  </si>
  <si>
    <t>DUES/MEMBERSHIPS</t>
  </si>
  <si>
    <t>GBA</t>
  </si>
  <si>
    <t>ACWA (dues)</t>
  </si>
  <si>
    <t>USA North/Underground Service</t>
  </si>
  <si>
    <t>Subtotal Dues/Memberships</t>
  </si>
  <si>
    <t>INSURANCE</t>
  </si>
  <si>
    <t>ACWA JPIA Liability</t>
  </si>
  <si>
    <t>ACWA JPIA Property</t>
  </si>
  <si>
    <t>Subtotal Insurance</t>
  </si>
  <si>
    <t>OTHER/OFFICE</t>
  </si>
  <si>
    <t>Storage Unit</t>
  </si>
  <si>
    <t>Office Rent</t>
  </si>
  <si>
    <t>District Secretary Consultant</t>
  </si>
  <si>
    <t>Office Phone</t>
  </si>
  <si>
    <t>Office Supplies</t>
  </si>
  <si>
    <t xml:space="preserve">Meeting Supplies </t>
  </si>
  <si>
    <t>Subtotal Other/Office</t>
  </si>
  <si>
    <t>Total Administrative Expenses</t>
  </si>
  <si>
    <t>variable</t>
  </si>
  <si>
    <t>Allocated to South System Operations</t>
  </si>
  <si>
    <t xml:space="preserve">Total Unallocated Administrative Expense </t>
  </si>
  <si>
    <t>PROGRAM DEVELOPMENT</t>
  </si>
  <si>
    <t>Engineering Consultant</t>
  </si>
  <si>
    <t>Permits</t>
  </si>
  <si>
    <t>Other</t>
  </si>
  <si>
    <t>Sustainable Groundwater Management Act</t>
  </si>
  <si>
    <t xml:space="preserve">Legal </t>
  </si>
  <si>
    <t>Subtotal Sustainable Groundwater</t>
  </si>
  <si>
    <t xml:space="preserve">EBMUD Demonstration Project </t>
  </si>
  <si>
    <t>Subtotal EBMUD Demo</t>
  </si>
  <si>
    <t>North System</t>
  </si>
  <si>
    <t>Subtotal North System</t>
  </si>
  <si>
    <t>Woodbridge/Cal-Fed</t>
  </si>
  <si>
    <t>Subtotal Cal-Fed</t>
  </si>
  <si>
    <t xml:space="preserve">Total Program Development Expense </t>
  </si>
  <si>
    <t>OPERATIONS EXPENSE</t>
  </si>
  <si>
    <t>COST CENTER - CITY OF LODI TRANSFER</t>
  </si>
  <si>
    <t xml:space="preserve">EBMUD Water Charges per AF </t>
  </si>
  <si>
    <t>COST CENTER -- WOODBRIDGE/cal-Fed</t>
  </si>
  <si>
    <t>PG&amp;E Pump Acc. 3337</t>
  </si>
  <si>
    <t>COST CENTER NORTH LINE</t>
  </si>
  <si>
    <t>PG&amp;E Main Pump Acc.1015</t>
  </si>
  <si>
    <t>COST CENTER - TRACY LAKE GROUNDWATER RECHARGE</t>
  </si>
  <si>
    <t>District share of O&amp;M</t>
  </si>
  <si>
    <t>COST CENTER SOUTH SYSTEM OPERATIONS</t>
  </si>
  <si>
    <t>PG&amp;E Main Pump Acc.1025</t>
  </si>
  <si>
    <t>PG&amp;E Jockey Pump 1030</t>
  </si>
  <si>
    <t>PG&amp;E Brandt Rd. Acc. 1040</t>
  </si>
  <si>
    <t>PG&amp;E 12097 E. Hwy 12 1020</t>
  </si>
  <si>
    <t>WIC Contract for Operations</t>
  </si>
  <si>
    <t>EBMUD Charges per AF</t>
  </si>
  <si>
    <t>Allocated Administrative Expense</t>
  </si>
  <si>
    <t>Repairs/Maintenance/Service</t>
  </si>
  <si>
    <t xml:space="preserve">Total Operations Expense </t>
  </si>
  <si>
    <t>TOTAL EXPENSE</t>
  </si>
  <si>
    <t>NET</t>
  </si>
  <si>
    <t>Prior Year Carry-over</t>
  </si>
  <si>
    <t xml:space="preserve">New Carry-over </t>
  </si>
  <si>
    <t>E/A Notes</t>
  </si>
  <si>
    <t>PC?</t>
  </si>
  <si>
    <t>Legal - General Counsel</t>
  </si>
  <si>
    <t>A [Actual]</t>
  </si>
  <si>
    <t>F,less 3K for Water right compliance</t>
  </si>
  <si>
    <t>G[Guestimated}</t>
  </si>
  <si>
    <t>A</t>
  </si>
  <si>
    <t>Training</t>
  </si>
  <si>
    <t>from District Engineering Consultant</t>
  </si>
  <si>
    <t>ACWA Insurance refund {vs $3579 ?}</t>
  </si>
  <si>
    <t>See refund under Revenue</t>
  </si>
  <si>
    <t>Directors Insurance</t>
  </si>
  <si>
    <t>A - should this be F</t>
  </si>
  <si>
    <t>F</t>
  </si>
  <si>
    <t>Website &amp; Webmaster</t>
  </si>
  <si>
    <t>Reimburemble Expenses</t>
  </si>
  <si>
    <t>F {was Reimbursement Expenses}</t>
  </si>
  <si>
    <t>Adversiment</t>
  </si>
  <si>
    <t>Miscelaneous</t>
  </si>
  <si>
    <t>A {Public Records}</t>
  </si>
  <si>
    <t>Subtotal =</t>
  </si>
  <si>
    <t>Protest EBMUD Change Petition</t>
  </si>
  <si>
    <t>Prop 218 Water Rates</t>
  </si>
  <si>
    <t>Water Rights Petition</t>
  </si>
  <si>
    <t>Tracy Lake Recharge Project</t>
  </si>
  <si>
    <t>Petitions</t>
  </si>
  <si>
    <t>Meetings</t>
  </si>
  <si>
    <t>District %</t>
  </si>
  <si>
    <t>Allocation of Legal Fees</t>
  </si>
  <si>
    <t>Billed thru 5/31</t>
  </si>
  <si>
    <t>Estimated/Actual</t>
  </si>
  <si>
    <t>District Share</t>
  </si>
  <si>
    <t>Tracy Lake Share</t>
  </si>
  <si>
    <t>General - Masuda</t>
  </si>
  <si>
    <t>General - Spaletta</t>
  </si>
  <si>
    <t>Water Right Compliance</t>
  </si>
  <si>
    <t>F [Forecast Ratio] 12/10</t>
  </si>
  <si>
    <t>F [Forecast}</t>
  </si>
  <si>
    <t xml:space="preserve">2014-2015 Estimated/ Actual </t>
  </si>
  <si>
    <t>A, [Actual} {2014&amp;15}</t>
  </si>
  <si>
    <t>LF, [Legal Fee Allocation Table]</t>
  </si>
  <si>
    <t>LF</t>
  </si>
  <si>
    <t>LF, was General- Masuda</t>
  </si>
  <si>
    <t>LF, Part to TL</t>
  </si>
  <si>
    <t>LF, All to TL</t>
  </si>
  <si>
    <t>Lodi Water Sale Negotiation</t>
  </si>
  <si>
    <t>See operations, City of Lodi Transfer</t>
  </si>
  <si>
    <t>PC, [per County] - details?</t>
  </si>
  <si>
    <t>PC, Estimated</t>
  </si>
  <si>
    <t>F, [Forcasted-12/10]?, PC</t>
  </si>
  <si>
    <t>G</t>
  </si>
  <si>
    <t>See LF</t>
  </si>
  <si>
    <t>A, Water Sale Negotiation</t>
  </si>
  <si>
    <t>2014/15 Budget</t>
  </si>
  <si>
    <t>F {Printing Agendas/Handouts}</t>
  </si>
  <si>
    <t xml:space="preserve"> </t>
  </si>
  <si>
    <t>F {Shasta}{Independent Contractor + PT employee}</t>
  </si>
  <si>
    <t>Operational Expense Allocation</t>
  </si>
  <si>
    <t>Contract W/WID</t>
  </si>
  <si>
    <t>Weed Control</t>
  </si>
  <si>
    <t>PartTime Empolyees</t>
  </si>
  <si>
    <t>SWRCB Annual Permit/Fee</t>
  </si>
  <si>
    <t>Water Level Testing</t>
  </si>
  <si>
    <t>Manditory Training</t>
  </si>
  <si>
    <t>Repairs/maintenance/service</t>
  </si>
  <si>
    <t>EBMUD Water Charges</t>
  </si>
  <si>
    <t>Note</t>
  </si>
  <si>
    <t>R [Reassigned}</t>
  </si>
  <si>
    <t>North</t>
  </si>
  <si>
    <t>South</t>
  </si>
  <si>
    <t>CalFed</t>
  </si>
  <si>
    <t>Lodi</t>
  </si>
  <si>
    <t>2014/15 Est/Act</t>
  </si>
  <si>
    <t>2015/16 Budget</t>
  </si>
  <si>
    <t>Loss (%)</t>
  </si>
  <si>
    <t>Estimated AF taken from river</t>
  </si>
  <si>
    <t>Net delivery (AF)</t>
  </si>
  <si>
    <t>Rate ($/AF)</t>
  </si>
  <si>
    <t>Revenue $</t>
  </si>
  <si>
    <t>Pumping costs ($/AF)</t>
  </si>
  <si>
    <t>Total pumping cost ($/AF)*(AF)</t>
  </si>
  <si>
    <t>Total Operational Costs</t>
  </si>
  <si>
    <t>Water Sale Revenue</t>
  </si>
  <si>
    <t>Total Revenue =</t>
  </si>
  <si>
    <t>Capital Improvements</t>
  </si>
  <si>
    <t>South System Pump Station Upgrade</t>
  </si>
  <si>
    <t>South System Pipeline Upgrade</t>
  </si>
  <si>
    <t>Total Capital Improvements</t>
  </si>
  <si>
    <t>PC, [Per County]</t>
  </si>
  <si>
    <t>PC</t>
  </si>
  <si>
    <t>OP</t>
  </si>
  <si>
    <t>Increase</t>
  </si>
  <si>
    <t>Historical</t>
  </si>
  <si>
    <t>Jennifer?</t>
  </si>
  <si>
    <t>complete</t>
  </si>
  <si>
    <t>General expense?</t>
  </si>
  <si>
    <t>See below</t>
  </si>
  <si>
    <t>Increase GMA?</t>
  </si>
  <si>
    <t>A, [Actual]</t>
  </si>
  <si>
    <t>F, [forcast]</t>
  </si>
  <si>
    <t>Tracy Lake ID Share</t>
  </si>
  <si>
    <t>?????</t>
  </si>
  <si>
    <t>Proposed 2015-2016 with 12 months water</t>
  </si>
  <si>
    <t>Needed?</t>
  </si>
  <si>
    <t>Add'l work on files</t>
  </si>
  <si>
    <t>Imporve web page</t>
  </si>
  <si>
    <t>Grant Applications</t>
  </si>
  <si>
    <t xml:space="preserve">Dist Engr Con - Water right compliance </t>
  </si>
  <si>
    <t>Meter Calibration</t>
  </si>
  <si>
    <t>PW, [Per Walt] - new</t>
  </si>
  <si>
    <t>G, [Guess]</t>
  </si>
  <si>
    <t>PW</t>
  </si>
  <si>
    <t>PW, Req'd</t>
  </si>
  <si>
    <t>complete?</t>
  </si>
  <si>
    <t>Assume 50% of full year for expenses, revenues to follow in fullowing budget year - Lodi end of year</t>
  </si>
  <si>
    <t>Revenue ${revenues in following year}</t>
  </si>
  <si>
    <t>Dry Year - 2015/16</t>
  </si>
  <si>
    <t>Assume minimal maintenance expenses</t>
  </si>
  <si>
    <t>Program Development Cost Allocation</t>
  </si>
  <si>
    <t>South System</t>
  </si>
  <si>
    <t>System Evaluation/Planning</t>
  </si>
  <si>
    <t>District Engineer</t>
  </si>
  <si>
    <t>Consultants</t>
  </si>
  <si>
    <t>Legal/Prop 218</t>
  </si>
  <si>
    <t>Sub-total =</t>
  </si>
  <si>
    <t>Pump Station Upgrade</t>
  </si>
  <si>
    <t>Preliminary Design</t>
  </si>
  <si>
    <t>Environmental</t>
  </si>
  <si>
    <t>Survey</t>
  </si>
  <si>
    <t>Final Design</t>
  </si>
  <si>
    <t>Construction Support</t>
  </si>
  <si>
    <t>Distribution system</t>
  </si>
  <si>
    <t>CCTV lines</t>
  </si>
  <si>
    <t>Design</t>
  </si>
  <si>
    <t>F less 47K</t>
  </si>
  <si>
    <t>For PS Funding</t>
  </si>
  <si>
    <t>If authorized then spent</t>
  </si>
  <si>
    <t>A, Baumback</t>
  </si>
  <si>
    <t>A, Moore</t>
  </si>
  <si>
    <t>Out Years</t>
  </si>
  <si>
    <t>Engineering</t>
  </si>
  <si>
    <t xml:space="preserve"> {Need breakdown walt , KSN, Etc?}</t>
  </si>
  <si>
    <t>E</t>
  </si>
  <si>
    <t>Subtotal Evaluation/planning</t>
  </si>
  <si>
    <t>Distribution System</t>
  </si>
  <si>
    <t>Subtotal Distribution System</t>
  </si>
  <si>
    <t>Subtotal Pump Station Upgrade</t>
  </si>
  <si>
    <t>Evaluation/Planning</t>
  </si>
  <si>
    <t>CCTV Lines</t>
  </si>
  <si>
    <t>Prop 218</t>
  </si>
  <si>
    <t>P, [Proposal}</t>
  </si>
  <si>
    <t>P</t>
  </si>
  <si>
    <t>Other - outreach</t>
  </si>
  <si>
    <t>South System Summary</t>
  </si>
  <si>
    <t>WID Contract for Operations</t>
  </si>
  <si>
    <t>A, [1300 TL?]</t>
  </si>
  <si>
    <t>NO CIP</t>
  </si>
  <si>
    <t>w/Admin Allocation</t>
  </si>
  <si>
    <t>Combine w/mtgs</t>
  </si>
  <si>
    <t>OP, [Op cost sheet]</t>
  </si>
  <si>
    <t>E, [Estimate]</t>
  </si>
  <si>
    <t>OP, ?</t>
  </si>
  <si>
    <t>Combined w/1025</t>
  </si>
  <si>
    <t>No used</t>
  </si>
  <si>
    <t>See Admin Above</t>
  </si>
  <si>
    <t>12 months water notes</t>
  </si>
  <si>
    <t>W/O Water Notes</t>
  </si>
  <si>
    <t>PW, no water</t>
  </si>
  <si>
    <t>PW, Req'd, no water</t>
  </si>
  <si>
    <t>No Admin Allocation</t>
  </si>
  <si>
    <t>6 month Water Notes</t>
  </si>
  <si>
    <t>H, [half year share]</t>
  </si>
  <si>
    <t>Proposed 2015-2016 with 6 months water</t>
  </si>
  <si>
    <t>Earlest sale Dec 2016</t>
  </si>
  <si>
    <t>Wet Year - 12 Months</t>
  </si>
  <si>
    <t>Half Wet Year - Jan/Jun 2016</t>
  </si>
  <si>
    <t>1/2 Admin Allocation</t>
  </si>
  <si>
    <t>OP, [Op Costs]</t>
  </si>
  <si>
    <t>Standby min?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</si>
</sst>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(&quot;$&quot;* #,##0.00_);_(&quot;$&quot;* \(#,##0.00\);_(&quot;$&quot;* &quot;-&quot;??_);_(@_)"/>
    <numFmt numFmtId="165" formatCode="&quot;$&quot;#,##0.00"/>
    <numFmt numFmtId="166" formatCode="[$$-409]#,##0_ ;\-[$$-409]#,##0\ "/>
    <numFmt numFmtId="167" formatCode="&quot;$&quot;#,##0"/>
  </numFmts>
  <fonts count="25" x14ac:knownFonts="1">
    <font>
      <sz val="12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i/>
      <u/>
      <sz val="11"/>
      <color rgb="FF000000"/>
      <name val="Calibri"/>
      <family val="2"/>
      <scheme val="minor"/>
    </font>
    <font>
      <i/>
      <sz val="11"/>
      <color rgb="FF00000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i/>
      <sz val="11"/>
      <color rgb="FF000000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u/>
      <sz val="16"/>
      <color theme="1"/>
      <name val="Calibri"/>
      <scheme val="minor"/>
    </font>
    <font>
      <sz val="8"/>
      <name val="Calibri"/>
      <family val="2"/>
      <scheme val="minor"/>
    </font>
    <font>
      <i/>
      <sz val="12"/>
      <color theme="1"/>
      <name val="Calibri"/>
      <scheme val="minor"/>
    </font>
    <font>
      <i/>
      <u/>
      <sz val="11"/>
      <color theme="1"/>
      <name val="Calibri"/>
      <scheme val="minor"/>
    </font>
    <font>
      <sz val="11"/>
      <color theme="1"/>
      <name val="Calibri"/>
      <scheme val="minor"/>
    </font>
    <font>
      <u/>
      <sz val="14"/>
      <color theme="1"/>
      <name val="Calibri"/>
      <scheme val="minor"/>
    </font>
    <font>
      <u/>
      <sz val="10"/>
      <color rgb="FF008000"/>
      <name val="Calibri"/>
      <scheme val="minor"/>
    </font>
    <font>
      <i/>
      <u/>
      <sz val="12"/>
      <color rgb="FF008000"/>
      <name val="Calibri"/>
      <scheme val="minor"/>
    </font>
    <font>
      <sz val="12"/>
      <color theme="9" tint="-0.249977111117893"/>
      <name val="Calibri"/>
      <scheme val="minor"/>
    </font>
    <font>
      <sz val="18"/>
      <color theme="1"/>
      <name val="Calibri"/>
      <scheme val="minor"/>
    </font>
    <font>
      <b/>
      <i/>
      <u/>
      <sz val="11"/>
      <color theme="1"/>
      <name val="Calibri"/>
      <scheme val="minor"/>
    </font>
    <font>
      <sz val="11"/>
      <name val="Calibri"/>
      <scheme val="minor"/>
    </font>
    <font>
      <b/>
      <sz val="12"/>
      <color theme="1"/>
      <name val="Calibri"/>
      <family val="2"/>
      <scheme val="minor"/>
    </font>
  </fonts>
  <fills count="19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DCE6F1"/>
        <bgColor rgb="FF000000"/>
      </patternFill>
    </fill>
    <fill>
      <patternFill patternType="solid">
        <fgColor theme="9" tint="-0.499984740745262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ECEF6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DDD9C4"/>
        <bgColor rgb="FF000000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</borders>
  <cellStyleXfs count="157">
    <xf numFmtId="0" fontId="0" fillId="0" borderId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</cellStyleXfs>
  <cellXfs count="219">
    <xf numFmtId="0" fontId="0" fillId="0" borderId="0" xfId="0"/>
    <xf numFmtId="0" fontId="1" fillId="2" borderId="1" xfId="0" applyFont="1" applyFill="1" applyBorder="1" applyAlignment="1">
      <alignment horizontal="left"/>
    </xf>
    <xf numFmtId="0" fontId="0" fillId="2" borderId="0" xfId="0" applyFill="1"/>
    <xf numFmtId="0" fontId="1" fillId="2" borderId="1" xfId="0" applyFont="1" applyFill="1" applyBorder="1" applyAlignment="1">
      <alignment horizontal="center"/>
    </xf>
    <xf numFmtId="164" fontId="1" fillId="2" borderId="1" xfId="0" applyNumberFormat="1" applyFont="1" applyFill="1" applyBorder="1" applyAlignment="1">
      <alignment horizontal="center" wrapText="1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center" wrapText="1"/>
    </xf>
    <xf numFmtId="164" fontId="1" fillId="0" borderId="1" xfId="0" applyNumberFormat="1" applyFont="1" applyBorder="1" applyAlignment="1">
      <alignment horizontal="center" wrapText="1"/>
    </xf>
    <xf numFmtId="0" fontId="2" fillId="0" borderId="1" xfId="0" applyFont="1" applyBorder="1"/>
    <xf numFmtId="164" fontId="2" fillId="0" borderId="1" xfId="0" applyNumberFormat="1" applyFont="1" applyBorder="1"/>
    <xf numFmtId="0" fontId="1" fillId="4" borderId="1" xfId="0" applyFont="1" applyFill="1" applyBorder="1"/>
    <xf numFmtId="0" fontId="2" fillId="4" borderId="1" xfId="0" applyFont="1" applyFill="1" applyBorder="1"/>
    <xf numFmtId="164" fontId="2" fillId="4" borderId="1" xfId="0" applyNumberFormat="1" applyFont="1" applyFill="1" applyBorder="1"/>
    <xf numFmtId="0" fontId="0" fillId="4" borderId="1" xfId="0" applyFill="1" applyBorder="1"/>
    <xf numFmtId="0" fontId="3" fillId="4" borderId="1" xfId="0" applyFont="1" applyFill="1" applyBorder="1"/>
    <xf numFmtId="0" fontId="4" fillId="4" borderId="1" xfId="0" applyFont="1" applyFill="1" applyBorder="1" applyAlignment="1">
      <alignment horizontal="right"/>
    </xf>
    <xf numFmtId="0" fontId="4" fillId="4" borderId="1" xfId="0" applyFont="1" applyFill="1" applyBorder="1" applyAlignment="1">
      <alignment horizontal="left"/>
    </xf>
    <xf numFmtId="164" fontId="4" fillId="4" borderId="1" xfId="0" applyNumberFormat="1" applyFont="1" applyFill="1" applyBorder="1"/>
    <xf numFmtId="0" fontId="3" fillId="4" borderId="1" xfId="0" applyFont="1" applyFill="1" applyBorder="1" applyAlignment="1">
      <alignment horizontal="left"/>
    </xf>
    <xf numFmtId="0" fontId="2" fillId="4" borderId="1" xfId="0" applyFont="1" applyFill="1" applyBorder="1" applyAlignment="1">
      <alignment horizontal="left"/>
    </xf>
    <xf numFmtId="0" fontId="4" fillId="4" borderId="1" xfId="0" applyFont="1" applyFill="1" applyBorder="1"/>
    <xf numFmtId="164" fontId="0" fillId="4" borderId="1" xfId="0" applyNumberFormat="1" applyFill="1" applyBorder="1"/>
    <xf numFmtId="0" fontId="6" fillId="4" borderId="1" xfId="0" applyFont="1" applyFill="1" applyBorder="1"/>
    <xf numFmtId="164" fontId="6" fillId="4" borderId="1" xfId="0" applyNumberFormat="1" applyFont="1" applyFill="1" applyBorder="1"/>
    <xf numFmtId="0" fontId="0" fillId="4" borderId="1" xfId="0" applyFont="1" applyFill="1" applyBorder="1"/>
    <xf numFmtId="0" fontId="1" fillId="4" borderId="1" xfId="0" applyFont="1" applyFill="1" applyBorder="1" applyAlignment="1">
      <alignment horizontal="left"/>
    </xf>
    <xf numFmtId="0" fontId="0" fillId="4" borderId="0" xfId="0" applyFill="1"/>
    <xf numFmtId="164" fontId="1" fillId="4" borderId="1" xfId="0" applyNumberFormat="1" applyFont="1" applyFill="1" applyBorder="1"/>
    <xf numFmtId="164" fontId="0" fillId="0" borderId="0" xfId="0" applyNumberFormat="1"/>
    <xf numFmtId="0" fontId="1" fillId="2" borderId="2" xfId="0" applyFont="1" applyFill="1" applyBorder="1"/>
    <xf numFmtId="164" fontId="1" fillId="2" borderId="2" xfId="0" applyNumberFormat="1" applyFont="1" applyFill="1" applyBorder="1"/>
    <xf numFmtId="0" fontId="9" fillId="3" borderId="1" xfId="0" applyFont="1" applyFill="1" applyBorder="1"/>
    <xf numFmtId="0" fontId="9" fillId="5" borderId="1" xfId="0" applyFont="1" applyFill="1" applyBorder="1" applyAlignment="1">
      <alignment wrapText="1"/>
    </xf>
    <xf numFmtId="164" fontId="9" fillId="5" borderId="1" xfId="0" applyNumberFormat="1" applyFont="1" applyFill="1" applyBorder="1"/>
    <xf numFmtId="0" fontId="8" fillId="3" borderId="1" xfId="0" applyFont="1" applyFill="1" applyBorder="1"/>
    <xf numFmtId="0" fontId="8" fillId="5" borderId="1" xfId="0" applyFont="1" applyFill="1" applyBorder="1"/>
    <xf numFmtId="164" fontId="8" fillId="5" borderId="1" xfId="0" applyNumberFormat="1" applyFont="1" applyFill="1" applyBorder="1"/>
    <xf numFmtId="0" fontId="2" fillId="6" borderId="1" xfId="0" applyFont="1" applyFill="1" applyBorder="1" applyAlignment="1">
      <alignment horizontal="right"/>
    </xf>
    <xf numFmtId="165" fontId="0" fillId="0" borderId="0" xfId="0" applyNumberFormat="1"/>
    <xf numFmtId="49" fontId="0" fillId="0" borderId="0" xfId="0" applyNumberFormat="1" applyAlignment="1">
      <alignment horizontal="center" vertical="center" wrapText="1"/>
    </xf>
    <xf numFmtId="49" fontId="12" fillId="0" borderId="0" xfId="0" applyNumberFormat="1" applyFont="1" applyAlignment="1">
      <alignment horizontal="center" vertical="center" wrapText="1"/>
    </xf>
    <xf numFmtId="166" fontId="0" fillId="0" borderId="0" xfId="0" applyNumberFormat="1"/>
    <xf numFmtId="10" fontId="0" fillId="0" borderId="0" xfId="0" applyNumberFormat="1"/>
    <xf numFmtId="167" fontId="0" fillId="0" borderId="0" xfId="0" applyNumberFormat="1" applyAlignment="1">
      <alignment horizontal="center" vertical="center" wrapText="1"/>
    </xf>
    <xf numFmtId="167" fontId="0" fillId="0" borderId="0" xfId="0" applyNumberFormat="1"/>
    <xf numFmtId="0" fontId="2" fillId="6" borderId="1" xfId="0" applyFont="1" applyFill="1" applyBorder="1"/>
    <xf numFmtId="167" fontId="1" fillId="2" borderId="1" xfId="0" applyNumberFormat="1" applyFont="1" applyFill="1" applyBorder="1" applyAlignment="1">
      <alignment horizontal="center" wrapText="1"/>
    </xf>
    <xf numFmtId="167" fontId="1" fillId="0" borderId="1" xfId="0" applyNumberFormat="1" applyFont="1" applyBorder="1" applyAlignment="1">
      <alignment horizontal="center" wrapText="1"/>
    </xf>
    <xf numFmtId="167" fontId="2" fillId="0" borderId="1" xfId="0" applyNumberFormat="1" applyFont="1" applyBorder="1"/>
    <xf numFmtId="167" fontId="2" fillId="4" borderId="1" xfId="0" applyNumberFormat="1" applyFont="1" applyFill="1" applyBorder="1"/>
    <xf numFmtId="167" fontId="4" fillId="4" borderId="1" xfId="0" applyNumberFormat="1" applyFont="1" applyFill="1" applyBorder="1"/>
    <xf numFmtId="167" fontId="6" fillId="4" borderId="1" xfId="0" applyNumberFormat="1" applyFont="1" applyFill="1" applyBorder="1"/>
    <xf numFmtId="167" fontId="0" fillId="4" borderId="1" xfId="0" applyNumberFormat="1" applyFont="1" applyFill="1" applyBorder="1"/>
    <xf numFmtId="167" fontId="4" fillId="6" borderId="3" xfId="0" applyNumberFormat="1" applyFont="1" applyFill="1" applyBorder="1"/>
    <xf numFmtId="167" fontId="1" fillId="4" borderId="1" xfId="0" applyNumberFormat="1" applyFont="1" applyFill="1" applyBorder="1"/>
    <xf numFmtId="167" fontId="1" fillId="2" borderId="2" xfId="0" applyNumberFormat="1" applyFont="1" applyFill="1" applyBorder="1"/>
    <xf numFmtId="167" fontId="9" fillId="5" borderId="1" xfId="0" applyNumberFormat="1" applyFont="1" applyFill="1" applyBorder="1"/>
    <xf numFmtId="167" fontId="8" fillId="5" borderId="1" xfId="0" applyNumberFormat="1" applyFont="1" applyFill="1" applyBorder="1"/>
    <xf numFmtId="167" fontId="3" fillId="4" borderId="1" xfId="0" applyNumberFormat="1" applyFont="1" applyFill="1" applyBorder="1"/>
    <xf numFmtId="167" fontId="3" fillId="4" borderId="1" xfId="0" applyNumberFormat="1" applyFont="1" applyFill="1" applyBorder="1" applyAlignment="1">
      <alignment horizontal="left"/>
    </xf>
    <xf numFmtId="167" fontId="4" fillId="4" borderId="1" xfId="0" applyNumberFormat="1" applyFont="1" applyFill="1" applyBorder="1" applyAlignment="1">
      <alignment horizontal="right"/>
    </xf>
    <xf numFmtId="167" fontId="2" fillId="6" borderId="1" xfId="0" applyNumberFormat="1" applyFont="1" applyFill="1" applyBorder="1"/>
    <xf numFmtId="167" fontId="2" fillId="4" borderId="1" xfId="0" applyNumberFormat="1" applyFont="1" applyFill="1" applyBorder="1" applyAlignment="1">
      <alignment horizontal="right"/>
    </xf>
    <xf numFmtId="167" fontId="9" fillId="5" borderId="1" xfId="0" applyNumberFormat="1" applyFont="1" applyFill="1" applyBorder="1" applyAlignment="1">
      <alignment wrapText="1"/>
    </xf>
    <xf numFmtId="0" fontId="14" fillId="4" borderId="1" xfId="0" applyFont="1" applyFill="1" applyBorder="1"/>
    <xf numFmtId="0" fontId="14" fillId="0" borderId="0" xfId="0" applyFont="1"/>
    <xf numFmtId="0" fontId="14" fillId="0" borderId="0" xfId="0" applyFont="1" applyAlignment="1">
      <alignment horizontal="right"/>
    </xf>
    <xf numFmtId="167" fontId="0" fillId="7" borderId="0" xfId="0" applyNumberFormat="1" applyFill="1"/>
    <xf numFmtId="0" fontId="0" fillId="7" borderId="0" xfId="0" applyFill="1"/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17" fillId="0" borderId="0" xfId="0" applyFont="1" applyAlignment="1">
      <alignment horizontal="center"/>
    </xf>
    <xf numFmtId="0" fontId="17" fillId="0" borderId="0" xfId="0" applyFont="1"/>
    <xf numFmtId="0" fontId="18" fillId="0" borderId="0" xfId="0" applyFont="1"/>
    <xf numFmtId="167" fontId="18" fillId="0" borderId="0" xfId="0" applyNumberFormat="1" applyFont="1"/>
    <xf numFmtId="167" fontId="0" fillId="0" borderId="7" xfId="0" applyNumberFormat="1" applyBorder="1"/>
    <xf numFmtId="1" fontId="19" fillId="0" borderId="0" xfId="0" applyNumberFormat="1" applyFont="1"/>
    <xf numFmtId="0" fontId="20" fillId="0" borderId="0" xfId="0" applyFont="1"/>
    <xf numFmtId="10" fontId="20" fillId="0" borderId="0" xfId="0" applyNumberFormat="1" applyFont="1"/>
    <xf numFmtId="1" fontId="19" fillId="0" borderId="0" xfId="0" applyNumberFormat="1" applyFont="1" applyBorder="1"/>
    <xf numFmtId="0" fontId="0" fillId="0" borderId="0" xfId="0" applyAlignment="1">
      <alignment horizontal="right"/>
    </xf>
    <xf numFmtId="0" fontId="21" fillId="0" borderId="0" xfId="0" applyFont="1"/>
    <xf numFmtId="0" fontId="1" fillId="8" borderId="1" xfId="0" applyFont="1" applyFill="1" applyBorder="1"/>
    <xf numFmtId="0" fontId="2" fillId="8" borderId="1" xfId="0" applyFont="1" applyFill="1" applyBorder="1"/>
    <xf numFmtId="167" fontId="2" fillId="8" borderId="1" xfId="0" applyNumberFormat="1" applyFont="1" applyFill="1" applyBorder="1"/>
    <xf numFmtId="167" fontId="1" fillId="8" borderId="1" xfId="0" applyNumberFormat="1" applyFont="1" applyFill="1" applyBorder="1" applyAlignment="1">
      <alignment horizontal="center"/>
    </xf>
    <xf numFmtId="164" fontId="1" fillId="8" borderId="1" xfId="0" applyNumberFormat="1" applyFont="1" applyFill="1" applyBorder="1" applyAlignment="1">
      <alignment horizontal="center"/>
    </xf>
    <xf numFmtId="164" fontId="2" fillId="8" borderId="1" xfId="0" applyNumberFormat="1" applyFont="1" applyFill="1" applyBorder="1"/>
    <xf numFmtId="0" fontId="0" fillId="8" borderId="0" xfId="0" applyFill="1"/>
    <xf numFmtId="0" fontId="1" fillId="8" borderId="1" xfId="0" applyFont="1" applyFill="1" applyBorder="1" applyAlignment="1">
      <alignment horizontal="left"/>
    </xf>
    <xf numFmtId="0" fontId="1" fillId="8" borderId="1" xfId="0" applyFont="1" applyFill="1" applyBorder="1" applyAlignment="1"/>
    <xf numFmtId="167" fontId="1" fillId="8" borderId="1" xfId="0" applyNumberFormat="1" applyFont="1" applyFill="1" applyBorder="1"/>
    <xf numFmtId="164" fontId="1" fillId="8" borderId="1" xfId="0" applyNumberFormat="1" applyFont="1" applyFill="1" applyBorder="1"/>
    <xf numFmtId="0" fontId="1" fillId="9" borderId="1" xfId="0" applyFont="1" applyFill="1" applyBorder="1"/>
    <xf numFmtId="0" fontId="2" fillId="9" borderId="1" xfId="0" applyFont="1" applyFill="1" applyBorder="1"/>
    <xf numFmtId="167" fontId="2" fillId="9" borderId="1" xfId="0" applyNumberFormat="1" applyFont="1" applyFill="1" applyBorder="1"/>
    <xf numFmtId="164" fontId="2" fillId="9" borderId="1" xfId="0" applyNumberFormat="1" applyFont="1" applyFill="1" applyBorder="1"/>
    <xf numFmtId="0" fontId="0" fillId="9" borderId="1" xfId="0" applyFill="1" applyBorder="1"/>
    <xf numFmtId="0" fontId="3" fillId="9" borderId="1" xfId="0" applyFont="1" applyFill="1" applyBorder="1"/>
    <xf numFmtId="167" fontId="3" fillId="9" borderId="1" xfId="0" applyNumberFormat="1" applyFont="1" applyFill="1" applyBorder="1"/>
    <xf numFmtId="0" fontId="0" fillId="9" borderId="0" xfId="0" applyFill="1"/>
    <xf numFmtId="164" fontId="2" fillId="9" borderId="4" xfId="0" applyNumberFormat="1" applyFont="1" applyFill="1" applyBorder="1"/>
    <xf numFmtId="164" fontId="2" fillId="9" borderId="0" xfId="0" applyNumberFormat="1" applyFont="1" applyFill="1" applyBorder="1"/>
    <xf numFmtId="0" fontId="4" fillId="9" borderId="1" xfId="0" applyFont="1" applyFill="1" applyBorder="1" applyAlignment="1">
      <alignment horizontal="right"/>
    </xf>
    <xf numFmtId="167" fontId="4" fillId="9" borderId="1" xfId="0" applyNumberFormat="1" applyFont="1" applyFill="1" applyBorder="1"/>
    <xf numFmtId="164" fontId="4" fillId="9" borderId="1" xfId="0" applyNumberFormat="1" applyFont="1" applyFill="1" applyBorder="1"/>
    <xf numFmtId="0" fontId="4" fillId="9" borderId="1" xfId="0" applyFont="1" applyFill="1" applyBorder="1" applyAlignment="1">
      <alignment horizontal="left"/>
    </xf>
    <xf numFmtId="167" fontId="4" fillId="9" borderId="1" xfId="0" applyNumberFormat="1" applyFont="1" applyFill="1" applyBorder="1" applyAlignment="1">
      <alignment horizontal="left"/>
    </xf>
    <xf numFmtId="0" fontId="3" fillId="9" borderId="1" xfId="0" applyFont="1" applyFill="1" applyBorder="1" applyAlignment="1">
      <alignment horizontal="left"/>
    </xf>
    <xf numFmtId="167" fontId="3" fillId="9" borderId="1" xfId="0" applyNumberFormat="1" applyFont="1" applyFill="1" applyBorder="1" applyAlignment="1">
      <alignment horizontal="left"/>
    </xf>
    <xf numFmtId="0" fontId="2" fillId="9" borderId="1" xfId="0" applyFont="1" applyFill="1" applyBorder="1" applyAlignment="1">
      <alignment horizontal="left"/>
    </xf>
    <xf numFmtId="167" fontId="2" fillId="9" borderId="1" xfId="0" applyNumberFormat="1" applyFont="1" applyFill="1" applyBorder="1" applyAlignment="1">
      <alignment horizontal="right"/>
    </xf>
    <xf numFmtId="167" fontId="4" fillId="9" borderId="1" xfId="0" applyNumberFormat="1" applyFont="1" applyFill="1" applyBorder="1" applyAlignment="1">
      <alignment horizontal="right"/>
    </xf>
    <xf numFmtId="167" fontId="0" fillId="9" borderId="1" xfId="0" applyNumberFormat="1" applyFill="1" applyBorder="1"/>
    <xf numFmtId="164" fontId="0" fillId="9" borderId="1" xfId="0" applyNumberFormat="1" applyFill="1" applyBorder="1"/>
    <xf numFmtId="0" fontId="5" fillId="9" borderId="1" xfId="0" applyFont="1" applyFill="1" applyBorder="1"/>
    <xf numFmtId="167" fontId="5" fillId="9" borderId="1" xfId="0" applyNumberFormat="1" applyFont="1" applyFill="1" applyBorder="1"/>
    <xf numFmtId="164" fontId="5" fillId="9" borderId="1" xfId="0" applyNumberFormat="1" applyFont="1" applyFill="1" applyBorder="1"/>
    <xf numFmtId="0" fontId="0" fillId="10" borderId="1" xfId="0" applyFill="1" applyBorder="1"/>
    <xf numFmtId="0" fontId="6" fillId="10" borderId="1" xfId="0" applyFont="1" applyFill="1" applyBorder="1"/>
    <xf numFmtId="167" fontId="6" fillId="10" borderId="1" xfId="0" applyNumberFormat="1" applyFont="1" applyFill="1" applyBorder="1"/>
    <xf numFmtId="164" fontId="6" fillId="10" borderId="1" xfId="0" applyNumberFormat="1" applyFont="1" applyFill="1" applyBorder="1"/>
    <xf numFmtId="0" fontId="14" fillId="10" borderId="1" xfId="0" applyFont="1" applyFill="1" applyBorder="1"/>
    <xf numFmtId="0" fontId="8" fillId="10" borderId="1" xfId="0" applyFont="1" applyFill="1" applyBorder="1"/>
    <xf numFmtId="0" fontId="15" fillId="10" borderId="1" xfId="0" applyFont="1" applyFill="1" applyBorder="1"/>
    <xf numFmtId="167" fontId="15" fillId="10" borderId="1" xfId="0" applyNumberFormat="1" applyFont="1" applyFill="1" applyBorder="1"/>
    <xf numFmtId="167" fontId="8" fillId="10" borderId="1" xfId="0" applyNumberFormat="1" applyFont="1" applyFill="1" applyBorder="1"/>
    <xf numFmtId="164" fontId="8" fillId="10" borderId="1" xfId="0" applyNumberFormat="1" applyFont="1" applyFill="1" applyBorder="1"/>
    <xf numFmtId="0" fontId="0" fillId="10" borderId="1" xfId="0" applyFont="1" applyFill="1" applyBorder="1"/>
    <xf numFmtId="167" fontId="0" fillId="10" borderId="1" xfId="0" applyNumberFormat="1" applyFont="1" applyFill="1" applyBorder="1"/>
    <xf numFmtId="164" fontId="0" fillId="10" borderId="1" xfId="0" applyNumberFormat="1" applyFont="1" applyFill="1" applyBorder="1"/>
    <xf numFmtId="167" fontId="16" fillId="10" borderId="1" xfId="0" applyNumberFormat="1" applyFont="1" applyFill="1" applyBorder="1"/>
    <xf numFmtId="0" fontId="14" fillId="10" borderId="1" xfId="0" applyFont="1" applyFill="1" applyBorder="1" applyAlignment="1">
      <alignment horizontal="right"/>
    </xf>
    <xf numFmtId="0" fontId="5" fillId="10" borderId="1" xfId="0" applyFont="1" applyFill="1" applyBorder="1" applyAlignment="1">
      <alignment horizontal="right"/>
    </xf>
    <xf numFmtId="167" fontId="5" fillId="10" borderId="1" xfId="0" applyNumberFormat="1" applyFont="1" applyFill="1" applyBorder="1" applyAlignment="1">
      <alignment horizontal="right"/>
    </xf>
    <xf numFmtId="164" fontId="5" fillId="10" borderId="1" xfId="0" applyNumberFormat="1" applyFont="1" applyFill="1" applyBorder="1" applyAlignment="1">
      <alignment horizontal="right"/>
    </xf>
    <xf numFmtId="0" fontId="7" fillId="10" borderId="1" xfId="0" applyFont="1" applyFill="1" applyBorder="1"/>
    <xf numFmtId="167" fontId="7" fillId="10" borderId="1" xfId="0" applyNumberFormat="1" applyFont="1" applyFill="1" applyBorder="1"/>
    <xf numFmtId="167" fontId="5" fillId="10" borderId="5" xfId="0" applyNumberFormat="1" applyFont="1" applyFill="1" applyBorder="1" applyAlignment="1">
      <alignment horizontal="right"/>
    </xf>
    <xf numFmtId="167" fontId="6" fillId="10" borderId="6" xfId="0" applyNumberFormat="1" applyFont="1" applyFill="1" applyBorder="1"/>
    <xf numFmtId="0" fontId="0" fillId="11" borderId="1" xfId="0" applyFill="1" applyBorder="1"/>
    <xf numFmtId="0" fontId="6" fillId="11" borderId="1" xfId="0" applyFont="1" applyFill="1" applyBorder="1"/>
    <xf numFmtId="0" fontId="0" fillId="11" borderId="1" xfId="0" applyFont="1" applyFill="1" applyBorder="1"/>
    <xf numFmtId="167" fontId="6" fillId="11" borderId="6" xfId="0" applyNumberFormat="1" applyFont="1" applyFill="1" applyBorder="1"/>
    <xf numFmtId="164" fontId="6" fillId="11" borderId="1" xfId="0" applyNumberFormat="1" applyFont="1" applyFill="1" applyBorder="1"/>
    <xf numFmtId="167" fontId="16" fillId="11" borderId="6" xfId="0" applyNumberFormat="1" applyFont="1" applyFill="1" applyBorder="1"/>
    <xf numFmtId="167" fontId="16" fillId="11" borderId="1" xfId="0" applyNumberFormat="1" applyFont="1" applyFill="1" applyBorder="1"/>
    <xf numFmtId="167" fontId="0" fillId="12" borderId="0" xfId="0" applyNumberFormat="1" applyFill="1"/>
    <xf numFmtId="0" fontId="0" fillId="0" borderId="0" xfId="0" applyAlignment="1">
      <alignment horizontal="left" indent="1"/>
    </xf>
    <xf numFmtId="0" fontId="0" fillId="0" borderId="0" xfId="0" applyAlignment="1">
      <alignment horizontal="left" indent="2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right" indent="2"/>
    </xf>
    <xf numFmtId="167" fontId="0" fillId="0" borderId="8" xfId="0" applyNumberFormat="1" applyBorder="1"/>
    <xf numFmtId="0" fontId="15" fillId="10" borderId="1" xfId="0" applyFont="1" applyFill="1" applyBorder="1" applyAlignment="1">
      <alignment horizontal="left" indent="1"/>
    </xf>
    <xf numFmtId="0" fontId="0" fillId="10" borderId="1" xfId="0" applyFont="1" applyFill="1" applyBorder="1" applyAlignment="1">
      <alignment horizontal="left" indent="2"/>
    </xf>
    <xf numFmtId="0" fontId="15" fillId="10" borderId="1" xfId="0" applyFont="1" applyFill="1" applyBorder="1" applyAlignment="1">
      <alignment horizontal="right"/>
    </xf>
    <xf numFmtId="0" fontId="16" fillId="10" borderId="1" xfId="0" applyFont="1" applyFill="1" applyBorder="1" applyAlignment="1">
      <alignment horizontal="left" indent="2"/>
    </xf>
    <xf numFmtId="167" fontId="16" fillId="10" borderId="1" xfId="0" applyNumberFormat="1" applyFont="1" applyFill="1" applyBorder="1" applyAlignment="1">
      <alignment horizontal="right"/>
    </xf>
    <xf numFmtId="164" fontId="16" fillId="10" borderId="1" xfId="0" applyNumberFormat="1" applyFont="1" applyFill="1" applyBorder="1" applyAlignment="1">
      <alignment horizontal="right"/>
    </xf>
    <xf numFmtId="167" fontId="4" fillId="13" borderId="1" xfId="0" applyNumberFormat="1" applyFont="1" applyFill="1" applyBorder="1" applyAlignment="1">
      <alignment horizontal="right"/>
    </xf>
    <xf numFmtId="164" fontId="16" fillId="10" borderId="1" xfId="0" applyNumberFormat="1" applyFont="1" applyFill="1" applyBorder="1" applyAlignment="1">
      <alignment horizontal="left"/>
    </xf>
    <xf numFmtId="0" fontId="22" fillId="10" borderId="1" xfId="0" applyFont="1" applyFill="1" applyBorder="1" applyAlignment="1">
      <alignment horizontal="right"/>
    </xf>
    <xf numFmtId="0" fontId="4" fillId="6" borderId="1" xfId="0" applyFont="1" applyFill="1" applyBorder="1" applyAlignment="1">
      <alignment horizontal="right"/>
    </xf>
    <xf numFmtId="0" fontId="24" fillId="15" borderId="0" xfId="0" applyFont="1" applyFill="1"/>
    <xf numFmtId="0" fontId="0" fillId="15" borderId="0" xfId="0" applyFill="1"/>
    <xf numFmtId="0" fontId="14" fillId="15" borderId="0" xfId="0" applyFont="1" applyFill="1"/>
    <xf numFmtId="0" fontId="14" fillId="15" borderId="0" xfId="0" applyFont="1" applyFill="1" applyAlignment="1">
      <alignment horizontal="right"/>
    </xf>
    <xf numFmtId="0" fontId="0" fillId="15" borderId="0" xfId="0" applyFont="1" applyFill="1" applyAlignment="1">
      <alignment horizontal="left"/>
    </xf>
    <xf numFmtId="0" fontId="16" fillId="15" borderId="0" xfId="0" applyFont="1" applyFill="1" applyAlignment="1">
      <alignment horizontal="left"/>
    </xf>
    <xf numFmtId="0" fontId="6" fillId="9" borderId="1" xfId="0" applyFont="1" applyFill="1" applyBorder="1"/>
    <xf numFmtId="167" fontId="6" fillId="9" borderId="1" xfId="0" applyNumberFormat="1" applyFont="1" applyFill="1" applyBorder="1"/>
    <xf numFmtId="0" fontId="0" fillId="17" borderId="1" xfId="0" applyFill="1" applyBorder="1"/>
    <xf numFmtId="0" fontId="5" fillId="17" borderId="1" xfId="0" applyFont="1" applyFill="1" applyBorder="1"/>
    <xf numFmtId="0" fontId="0" fillId="17" borderId="1" xfId="0" applyFill="1" applyBorder="1" applyAlignment="1"/>
    <xf numFmtId="167" fontId="0" fillId="17" borderId="1" xfId="0" applyNumberFormat="1" applyFill="1" applyBorder="1"/>
    <xf numFmtId="164" fontId="0" fillId="17" borderId="1" xfId="0" applyNumberFormat="1" applyFill="1" applyBorder="1"/>
    <xf numFmtId="167" fontId="0" fillId="17" borderId="5" xfId="0" applyNumberFormat="1" applyFill="1" applyBorder="1"/>
    <xf numFmtId="0" fontId="6" fillId="17" borderId="1" xfId="0" applyFont="1" applyFill="1" applyBorder="1"/>
    <xf numFmtId="167" fontId="6" fillId="17" borderId="6" xfId="0" applyNumberFormat="1" applyFont="1" applyFill="1" applyBorder="1"/>
    <xf numFmtId="164" fontId="6" fillId="17" borderId="1" xfId="0" applyNumberFormat="1" applyFont="1" applyFill="1" applyBorder="1"/>
    <xf numFmtId="0" fontId="0" fillId="15" borderId="1" xfId="0" applyFill="1" applyBorder="1"/>
    <xf numFmtId="0" fontId="6" fillId="15" borderId="1" xfId="0" applyFont="1" applyFill="1" applyBorder="1"/>
    <xf numFmtId="167" fontId="6" fillId="15" borderId="1" xfId="0" applyNumberFormat="1" applyFont="1" applyFill="1" applyBorder="1"/>
    <xf numFmtId="164" fontId="6" fillId="15" borderId="1" xfId="0" applyNumberFormat="1" applyFont="1" applyFill="1" applyBorder="1"/>
    <xf numFmtId="167" fontId="24" fillId="0" borderId="0" xfId="0" applyNumberFormat="1" applyFont="1" applyAlignment="1">
      <alignment wrapText="1"/>
    </xf>
    <xf numFmtId="167" fontId="24" fillId="15" borderId="0" xfId="0" applyNumberFormat="1" applyFont="1" applyFill="1"/>
    <xf numFmtId="167" fontId="0" fillId="15" borderId="0" xfId="0" applyNumberFormat="1" applyFill="1"/>
    <xf numFmtId="167" fontId="1" fillId="3" borderId="1" xfId="0" applyNumberFormat="1" applyFont="1" applyFill="1" applyBorder="1" applyAlignment="1">
      <alignment horizontal="center" wrapText="1"/>
    </xf>
    <xf numFmtId="167" fontId="2" fillId="3" borderId="1" xfId="0" applyNumberFormat="1" applyFont="1" applyFill="1" applyBorder="1"/>
    <xf numFmtId="167" fontId="1" fillId="3" borderId="1" xfId="0" applyNumberFormat="1" applyFont="1" applyFill="1" applyBorder="1"/>
    <xf numFmtId="167" fontId="2" fillId="2" borderId="1" xfId="0" applyNumberFormat="1" applyFont="1" applyFill="1" applyBorder="1"/>
    <xf numFmtId="167" fontId="0" fillId="2" borderId="0" xfId="0" applyNumberFormat="1" applyFill="1"/>
    <xf numFmtId="167" fontId="4" fillId="2" borderId="1" xfId="0" applyNumberFormat="1" applyFont="1" applyFill="1" applyBorder="1"/>
    <xf numFmtId="167" fontId="0" fillId="2" borderId="1" xfId="0" applyNumberFormat="1" applyFill="1" applyBorder="1"/>
    <xf numFmtId="167" fontId="5" fillId="2" borderId="1" xfId="0" applyNumberFormat="1" applyFont="1" applyFill="1" applyBorder="1"/>
    <xf numFmtId="167" fontId="6" fillId="2" borderId="1" xfId="0" applyNumberFormat="1" applyFont="1" applyFill="1" applyBorder="1"/>
    <xf numFmtId="167" fontId="0" fillId="17" borderId="0" xfId="0" applyNumberFormat="1" applyFill="1"/>
    <xf numFmtId="167" fontId="6" fillId="17" borderId="1" xfId="0" applyNumberFormat="1" applyFont="1" applyFill="1" applyBorder="1"/>
    <xf numFmtId="167" fontId="6" fillId="16" borderId="1" xfId="0" applyNumberFormat="1" applyFont="1" applyFill="1" applyBorder="1"/>
    <xf numFmtId="167" fontId="0" fillId="16" borderId="0" xfId="0" applyNumberFormat="1" applyFill="1"/>
    <xf numFmtId="167" fontId="8" fillId="16" borderId="1" xfId="0" applyNumberFormat="1" applyFont="1" applyFill="1" applyBorder="1"/>
    <xf numFmtId="167" fontId="14" fillId="16" borderId="0" xfId="0" applyNumberFormat="1" applyFont="1" applyFill="1"/>
    <xf numFmtId="167" fontId="14" fillId="15" borderId="0" xfId="0" applyNumberFormat="1" applyFont="1" applyFill="1"/>
    <xf numFmtId="167" fontId="0" fillId="16" borderId="1" xfId="0" applyNumberFormat="1" applyFont="1" applyFill="1" applyBorder="1"/>
    <xf numFmtId="167" fontId="5" fillId="16" borderId="1" xfId="0" applyNumberFormat="1" applyFont="1" applyFill="1" applyBorder="1" applyAlignment="1">
      <alignment horizontal="right"/>
    </xf>
    <xf numFmtId="167" fontId="14" fillId="16" borderId="0" xfId="0" applyNumberFormat="1" applyFont="1" applyFill="1" applyAlignment="1">
      <alignment horizontal="right"/>
    </xf>
    <xf numFmtId="167" fontId="14" fillId="15" borderId="0" xfId="0" applyNumberFormat="1" applyFont="1" applyFill="1" applyAlignment="1">
      <alignment horizontal="right"/>
    </xf>
    <xf numFmtId="167" fontId="16" fillId="16" borderId="1" xfId="0" applyNumberFormat="1" applyFont="1" applyFill="1" applyBorder="1" applyAlignment="1">
      <alignment horizontal="right"/>
    </xf>
    <xf numFmtId="167" fontId="0" fillId="16" borderId="0" xfId="0" applyNumberFormat="1" applyFont="1" applyFill="1" applyAlignment="1">
      <alignment horizontal="left"/>
    </xf>
    <xf numFmtId="167" fontId="0" fillId="15" borderId="0" xfId="0" applyNumberFormat="1" applyFont="1" applyFill="1" applyAlignment="1">
      <alignment horizontal="left"/>
    </xf>
    <xf numFmtId="167" fontId="16" fillId="16" borderId="0" xfId="0" applyNumberFormat="1" applyFont="1" applyFill="1" applyAlignment="1">
      <alignment horizontal="left"/>
    </xf>
    <xf numFmtId="167" fontId="16" fillId="15" borderId="0" xfId="0" applyNumberFormat="1" applyFont="1" applyFill="1" applyAlignment="1">
      <alignment horizontal="left"/>
    </xf>
    <xf numFmtId="167" fontId="6" fillId="16" borderId="6" xfId="0" applyNumberFormat="1" applyFont="1" applyFill="1" applyBorder="1"/>
    <xf numFmtId="167" fontId="6" fillId="18" borderId="1" xfId="0" applyNumberFormat="1" applyFont="1" applyFill="1" applyBorder="1"/>
    <xf numFmtId="167" fontId="0" fillId="18" borderId="0" xfId="0" applyNumberFormat="1" applyFill="1"/>
    <xf numFmtId="167" fontId="16" fillId="18" borderId="1" xfId="0" applyNumberFormat="1" applyFont="1" applyFill="1" applyBorder="1"/>
    <xf numFmtId="167" fontId="14" fillId="0" borderId="0" xfId="0" applyNumberFormat="1" applyFont="1"/>
    <xf numFmtId="167" fontId="23" fillId="14" borderId="1" xfId="0" applyNumberFormat="1" applyFont="1" applyFill="1" applyBorder="1"/>
    <xf numFmtId="167" fontId="2" fillId="14" borderId="1" xfId="0" applyNumberFormat="1" applyFont="1" applyFill="1" applyBorder="1"/>
  </cellXfs>
  <cellStyles count="157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Followed Hyperlink" xfId="124" builtinId="9" hidden="1"/>
    <cellStyle name="Followed Hyperlink" xfId="126" builtinId="9" hidden="1"/>
    <cellStyle name="Followed Hyperlink" xfId="128" builtinId="9" hidden="1"/>
    <cellStyle name="Followed Hyperlink" xfId="130" builtinId="9" hidden="1"/>
    <cellStyle name="Followed Hyperlink" xfId="132" builtinId="9" hidden="1"/>
    <cellStyle name="Followed Hyperlink" xfId="134" builtinId="9" hidden="1"/>
    <cellStyle name="Followed Hyperlink" xfId="136" builtinId="9" hidden="1"/>
    <cellStyle name="Followed Hyperlink" xfId="138" builtinId="9" hidden="1"/>
    <cellStyle name="Followed Hyperlink" xfId="140" builtinId="9" hidden="1"/>
    <cellStyle name="Followed Hyperlink" xfId="142" builtinId="9" hidden="1"/>
    <cellStyle name="Followed Hyperlink" xfId="144" builtinId="9" hidden="1"/>
    <cellStyle name="Followed Hyperlink" xfId="146" builtinId="9" hidden="1"/>
    <cellStyle name="Followed Hyperlink" xfId="148" builtinId="9" hidden="1"/>
    <cellStyle name="Followed Hyperlink" xfId="150" builtinId="9" hidden="1"/>
    <cellStyle name="Followed Hyperlink" xfId="152" builtinId="9" hidden="1"/>
    <cellStyle name="Followed Hyperlink" xfId="154" builtinId="9" hidden="1"/>
    <cellStyle name="Followed Hyperlink" xfId="156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Hyperlink" xfId="123" builtinId="8" hidden="1"/>
    <cellStyle name="Hyperlink" xfId="125" builtinId="8" hidden="1"/>
    <cellStyle name="Hyperlink" xfId="127" builtinId="8" hidden="1"/>
    <cellStyle name="Hyperlink" xfId="129" builtinId="8" hidden="1"/>
    <cellStyle name="Hyperlink" xfId="131" builtinId="8" hidden="1"/>
    <cellStyle name="Hyperlink" xfId="133" builtinId="8" hidden="1"/>
    <cellStyle name="Hyperlink" xfId="135" builtinId="8" hidden="1"/>
    <cellStyle name="Hyperlink" xfId="137" builtinId="8" hidden="1"/>
    <cellStyle name="Hyperlink" xfId="139" builtinId="8" hidden="1"/>
    <cellStyle name="Hyperlink" xfId="141" builtinId="8" hidden="1"/>
    <cellStyle name="Hyperlink" xfId="143" builtinId="8" hidden="1"/>
    <cellStyle name="Hyperlink" xfId="145" builtinId="8" hidden="1"/>
    <cellStyle name="Hyperlink" xfId="147" builtinId="8" hidden="1"/>
    <cellStyle name="Hyperlink" xfId="149" builtinId="8" hidden="1"/>
    <cellStyle name="Hyperlink" xfId="151" builtinId="8" hidden="1"/>
    <cellStyle name="Hyperlink" xfId="153" builtinId="8" hidden="1"/>
    <cellStyle name="Hyperlink" xfId="155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theme" Target="theme/theme1.xml"/><Relationship Id="rId6" Type="http://schemas.openxmlformats.org/officeDocument/2006/relationships/styles" Target="styles.xml"/><Relationship Id="rId7" Type="http://schemas.openxmlformats.org/officeDocument/2006/relationships/sharedStrings" Target="sharedStrings.xml"/><Relationship Id="rId8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L168"/>
  <sheetViews>
    <sheetView tabSelected="1" zoomScale="200" zoomScaleNormal="200" zoomScalePageLayoutView="200" workbookViewId="0">
      <pane ySplit="1" topLeftCell="A54" activePane="bottomLeft" state="frozen"/>
      <selection pane="bottomLeft" activeCell="E82" sqref="E82"/>
    </sheetView>
  </sheetViews>
  <sheetFormatPr baseColWidth="10" defaultRowHeight="15" x14ac:dyDescent="0"/>
  <cols>
    <col min="1" max="1" width="3.33203125" customWidth="1"/>
    <col min="2" max="2" width="3" customWidth="1"/>
    <col min="3" max="3" width="30.5" customWidth="1"/>
    <col min="4" max="4" width="10.33203125" style="44" customWidth="1"/>
    <col min="5" max="5" width="9.6640625" style="44" bestFit="1" customWidth="1"/>
    <col min="6" max="6" width="11.5" hidden="1" customWidth="1"/>
    <col min="7" max="7" width="12.6640625" style="44" customWidth="1"/>
    <col min="8" max="8" width="16.83203125" style="44" hidden="1" customWidth="1"/>
    <col min="9" max="9" width="11.33203125" style="44" customWidth="1"/>
    <col min="10" max="10" width="17.6640625" style="186" hidden="1" customWidth="1"/>
    <col min="11" max="11" width="13.33203125" style="44" customWidth="1"/>
    <col min="12" max="12" width="15.33203125" style="164" customWidth="1"/>
  </cols>
  <sheetData>
    <row r="1" spans="1:12" ht="42">
      <c r="A1" s="1" t="s">
        <v>0</v>
      </c>
      <c r="B1" s="2"/>
      <c r="C1" s="3"/>
      <c r="D1" s="46" t="s">
        <v>141</v>
      </c>
      <c r="E1" s="46" t="s">
        <v>126</v>
      </c>
      <c r="F1" s="4" t="s">
        <v>88</v>
      </c>
      <c r="G1" s="46" t="s">
        <v>190</v>
      </c>
      <c r="H1" s="184" t="s">
        <v>253</v>
      </c>
      <c r="I1" s="46" t="s">
        <v>1</v>
      </c>
      <c r="J1" s="185" t="s">
        <v>254</v>
      </c>
      <c r="K1" s="46" t="s">
        <v>260</v>
      </c>
      <c r="L1" s="163" t="s">
        <v>258</v>
      </c>
    </row>
    <row r="2" spans="1:12">
      <c r="A2" s="5"/>
      <c r="B2" s="5"/>
      <c r="C2" s="6"/>
      <c r="D2" s="47"/>
      <c r="E2" s="47"/>
      <c r="F2" s="7"/>
      <c r="G2" s="47"/>
      <c r="I2" s="47"/>
      <c r="K2" s="47"/>
    </row>
    <row r="3" spans="1:12">
      <c r="A3" s="82" t="s">
        <v>2</v>
      </c>
      <c r="B3" s="83"/>
      <c r="C3" s="83"/>
      <c r="D3" s="84"/>
      <c r="E3" s="85"/>
      <c r="F3" s="86"/>
      <c r="G3" s="187"/>
      <c r="I3" s="187"/>
      <c r="K3" s="187"/>
    </row>
    <row r="4" spans="1:12">
      <c r="A4" s="83"/>
      <c r="B4" s="83" t="s">
        <v>3</v>
      </c>
      <c r="C4" s="83"/>
      <c r="D4" s="84"/>
      <c r="E4" s="84"/>
      <c r="F4" s="87"/>
      <c r="G4" s="188"/>
      <c r="I4" s="188"/>
      <c r="K4" s="188"/>
    </row>
    <row r="5" spans="1:12">
      <c r="A5" s="83"/>
      <c r="B5" s="83"/>
      <c r="C5" s="83" t="s">
        <v>4</v>
      </c>
      <c r="D5" s="84">
        <v>240000</v>
      </c>
      <c r="E5" s="84">
        <f>247251.25+2205.96</f>
        <v>249457.21</v>
      </c>
      <c r="F5" s="87" t="s">
        <v>135</v>
      </c>
      <c r="G5" s="188">
        <v>250500</v>
      </c>
      <c r="H5" s="44" t="s">
        <v>176</v>
      </c>
      <c r="I5" s="188">
        <v>250500</v>
      </c>
      <c r="J5" s="186" t="s">
        <v>176</v>
      </c>
      <c r="K5" s="188">
        <v>250500</v>
      </c>
      <c r="L5" s="164" t="s">
        <v>176</v>
      </c>
    </row>
    <row r="6" spans="1:12">
      <c r="A6" s="83"/>
      <c r="B6" s="83"/>
      <c r="C6" s="83" t="s">
        <v>5</v>
      </c>
      <c r="D6" s="84"/>
      <c r="E6" s="84">
        <v>1085</v>
      </c>
      <c r="F6" s="87" t="s">
        <v>89</v>
      </c>
      <c r="G6" s="188">
        <v>1000</v>
      </c>
      <c r="H6" s="44" t="s">
        <v>177</v>
      </c>
      <c r="I6" s="188">
        <v>1000</v>
      </c>
      <c r="J6" s="186" t="s">
        <v>177</v>
      </c>
      <c r="K6" s="188">
        <v>1000</v>
      </c>
      <c r="L6" s="164" t="s">
        <v>177</v>
      </c>
    </row>
    <row r="7" spans="1:12">
      <c r="A7" s="83"/>
      <c r="B7" s="83" t="s">
        <v>6</v>
      </c>
      <c r="C7" s="83"/>
      <c r="D7" s="84"/>
      <c r="E7" s="84"/>
      <c r="F7" s="87"/>
      <c r="G7" s="188"/>
      <c r="I7" s="188"/>
      <c r="K7" s="188"/>
    </row>
    <row r="8" spans="1:12">
      <c r="A8" s="83"/>
      <c r="B8" s="83"/>
      <c r="C8" s="83" t="s">
        <v>7</v>
      </c>
      <c r="D8" s="84"/>
      <c r="E8" s="84">
        <v>0</v>
      </c>
      <c r="F8" s="87"/>
      <c r="G8" s="188">
        <v>0</v>
      </c>
      <c r="I8" s="188"/>
      <c r="K8" s="188"/>
    </row>
    <row r="9" spans="1:12">
      <c r="A9" s="83"/>
      <c r="B9" s="83" t="s">
        <v>8</v>
      </c>
      <c r="C9" s="83"/>
      <c r="D9" s="84"/>
      <c r="E9" s="84"/>
      <c r="F9" s="87"/>
      <c r="G9" s="188"/>
      <c r="I9" s="188"/>
      <c r="K9" s="188"/>
    </row>
    <row r="10" spans="1:12">
      <c r="A10" s="83"/>
      <c r="B10" s="83"/>
      <c r="C10" s="83" t="s">
        <v>9</v>
      </c>
      <c r="D10" s="84">
        <v>6000</v>
      </c>
      <c r="E10" s="84">
        <v>0</v>
      </c>
      <c r="F10" s="87"/>
      <c r="G10" s="188">
        <f>'Ops Costs'!E30</f>
        <v>319500</v>
      </c>
      <c r="H10" s="44" t="s">
        <v>247</v>
      </c>
      <c r="I10" s="188">
        <v>0</v>
      </c>
      <c r="J10" s="186" t="s">
        <v>247</v>
      </c>
      <c r="K10" s="188">
        <f>'Ops Costs'!E47</f>
        <v>159750</v>
      </c>
    </row>
    <row r="11" spans="1:12">
      <c r="A11" s="83"/>
      <c r="B11" s="83"/>
      <c r="C11" s="83" t="s">
        <v>10</v>
      </c>
      <c r="D11" s="84"/>
      <c r="E11" s="84">
        <v>0</v>
      </c>
      <c r="F11" s="87"/>
      <c r="G11" s="188">
        <f>'Ops Costs'!G30</f>
        <v>100000</v>
      </c>
      <c r="H11" s="44" t="s">
        <v>178</v>
      </c>
      <c r="I11" s="188">
        <v>0</v>
      </c>
      <c r="J11" s="186" t="s">
        <v>178</v>
      </c>
      <c r="K11" s="188">
        <v>0</v>
      </c>
    </row>
    <row r="12" spans="1:12">
      <c r="A12" s="83"/>
      <c r="B12" s="83" t="s">
        <v>11</v>
      </c>
      <c r="C12" s="83"/>
      <c r="D12" s="84"/>
      <c r="E12" s="84">
        <v>0</v>
      </c>
      <c r="F12" s="87"/>
      <c r="G12" s="188">
        <f>'Ops Costs'!H30</f>
        <v>5040</v>
      </c>
      <c r="H12" s="44" t="s">
        <v>178</v>
      </c>
      <c r="I12" s="188"/>
      <c r="J12" s="186" t="s">
        <v>178</v>
      </c>
      <c r="K12" s="188">
        <f>'Ops Costs'!H47</f>
        <v>2520</v>
      </c>
    </row>
    <row r="13" spans="1:12">
      <c r="A13" s="83"/>
      <c r="B13" s="83" t="s">
        <v>12</v>
      </c>
      <c r="C13" s="83"/>
      <c r="D13" s="84"/>
      <c r="E13" s="84">
        <v>4606.3500000000004</v>
      </c>
      <c r="F13" s="88" t="s">
        <v>97</v>
      </c>
      <c r="G13" s="188">
        <v>0</v>
      </c>
      <c r="I13" s="188"/>
      <c r="K13" s="188"/>
    </row>
    <row r="14" spans="1:12">
      <c r="A14" s="83"/>
      <c r="B14" s="83" t="s">
        <v>13</v>
      </c>
      <c r="C14" s="83"/>
      <c r="D14" s="84"/>
      <c r="E14" s="84">
        <v>0</v>
      </c>
      <c r="F14" s="87"/>
      <c r="G14" s="188">
        <v>0</v>
      </c>
      <c r="I14" s="188"/>
      <c r="K14" s="188"/>
    </row>
    <row r="15" spans="1:12">
      <c r="A15" s="83"/>
      <c r="B15" s="89" t="s">
        <v>14</v>
      </c>
      <c r="C15" s="90"/>
      <c r="D15" s="91">
        <f>SUM(D4:D14)</f>
        <v>246000</v>
      </c>
      <c r="E15" s="91">
        <f>SUM(E4:E14)</f>
        <v>255148.56</v>
      </c>
      <c r="F15" s="92"/>
      <c r="G15" s="189">
        <f>SUM(G4:G11)</f>
        <v>671000</v>
      </c>
      <c r="I15" s="189">
        <f>SUM(I4:I11)</f>
        <v>251500</v>
      </c>
      <c r="K15" s="189">
        <f>SUM(K4:K11)</f>
        <v>411250</v>
      </c>
    </row>
    <row r="16" spans="1:12">
      <c r="A16" s="8"/>
      <c r="B16" s="8"/>
      <c r="C16" s="8"/>
      <c r="D16" s="48"/>
      <c r="E16" s="48"/>
      <c r="F16" s="9"/>
      <c r="G16" s="48"/>
      <c r="I16" s="48"/>
      <c r="K16" s="48"/>
    </row>
    <row r="17" spans="1:12">
      <c r="A17" s="10" t="s">
        <v>15</v>
      </c>
      <c r="B17" s="11"/>
      <c r="C17" s="11"/>
      <c r="D17" s="49"/>
      <c r="E17" s="49"/>
      <c r="F17" s="12"/>
      <c r="G17" s="49"/>
      <c r="I17" s="49"/>
      <c r="K17" s="49"/>
    </row>
    <row r="18" spans="1:12">
      <c r="A18" s="93"/>
      <c r="B18" s="93" t="s">
        <v>16</v>
      </c>
      <c r="C18" s="94"/>
      <c r="D18" s="95"/>
      <c r="E18" s="95"/>
      <c r="F18" s="96"/>
      <c r="G18" s="190"/>
      <c r="H18" s="191"/>
      <c r="I18" s="190"/>
      <c r="K18" s="190"/>
    </row>
    <row r="19" spans="1:12">
      <c r="A19" s="94"/>
      <c r="B19" s="97"/>
      <c r="C19" s="98" t="s">
        <v>17</v>
      </c>
      <c r="D19" s="99"/>
      <c r="E19" s="95"/>
      <c r="F19" s="96"/>
      <c r="G19" s="190"/>
      <c r="H19" s="191"/>
      <c r="I19" s="190"/>
      <c r="K19" s="190"/>
    </row>
    <row r="20" spans="1:12">
      <c r="A20" s="94"/>
      <c r="B20" s="97"/>
      <c r="C20" s="94" t="s">
        <v>18</v>
      </c>
      <c r="D20" s="95">
        <v>150</v>
      </c>
      <c r="E20" s="95">
        <v>126</v>
      </c>
      <c r="F20" s="96" t="s">
        <v>89</v>
      </c>
      <c r="G20" s="190">
        <v>150</v>
      </c>
      <c r="H20" s="191" t="s">
        <v>177</v>
      </c>
      <c r="I20" s="190">
        <v>150</v>
      </c>
      <c r="J20" s="186" t="s">
        <v>177</v>
      </c>
      <c r="K20" s="190">
        <v>150</v>
      </c>
      <c r="L20" s="164" t="s">
        <v>177</v>
      </c>
    </row>
    <row r="21" spans="1:12">
      <c r="A21" s="94"/>
      <c r="B21" s="97"/>
      <c r="C21" s="94" t="s">
        <v>19</v>
      </c>
      <c r="D21" s="95">
        <v>5500</v>
      </c>
      <c r="E21" s="95">
        <v>5220</v>
      </c>
      <c r="F21" s="96" t="s">
        <v>136</v>
      </c>
      <c r="G21" s="190">
        <v>5500</v>
      </c>
      <c r="H21" s="191" t="s">
        <v>177</v>
      </c>
      <c r="I21" s="190">
        <v>5500</v>
      </c>
      <c r="J21" s="186" t="s">
        <v>177</v>
      </c>
      <c r="K21" s="190">
        <v>5500</v>
      </c>
      <c r="L21" s="164" t="s">
        <v>177</v>
      </c>
    </row>
    <row r="22" spans="1:12">
      <c r="A22" s="94"/>
      <c r="B22" s="97"/>
      <c r="C22" s="94" t="s">
        <v>20</v>
      </c>
      <c r="D22" s="95">
        <v>1800</v>
      </c>
      <c r="E22" s="95">
        <v>1600</v>
      </c>
      <c r="F22" s="96" t="s">
        <v>137</v>
      </c>
      <c r="G22" s="190">
        <v>2400</v>
      </c>
      <c r="H22" s="191" t="s">
        <v>179</v>
      </c>
      <c r="I22" s="190">
        <v>2400</v>
      </c>
      <c r="J22" s="186" t="s">
        <v>179</v>
      </c>
      <c r="K22" s="190">
        <v>2400</v>
      </c>
      <c r="L22" s="164" t="s">
        <v>179</v>
      </c>
    </row>
    <row r="23" spans="1:12">
      <c r="A23" s="94"/>
      <c r="B23" s="97"/>
      <c r="C23" s="94" t="s">
        <v>21</v>
      </c>
      <c r="D23" s="95">
        <v>4400</v>
      </c>
      <c r="E23" s="95">
        <v>8100</v>
      </c>
      <c r="F23" s="100" t="s">
        <v>127</v>
      </c>
      <c r="G23" s="190">
        <v>5000</v>
      </c>
      <c r="H23" s="191" t="s">
        <v>180</v>
      </c>
      <c r="I23" s="190">
        <v>5000</v>
      </c>
      <c r="J23" s="186" t="s">
        <v>180</v>
      </c>
      <c r="K23" s="190">
        <v>5000</v>
      </c>
      <c r="L23" s="164" t="s">
        <v>180</v>
      </c>
    </row>
    <row r="24" spans="1:12">
      <c r="A24" s="94"/>
      <c r="B24" s="97"/>
      <c r="C24" s="94" t="s">
        <v>114</v>
      </c>
      <c r="D24" s="95">
        <v>9600</v>
      </c>
      <c r="E24" s="95">
        <f>'Legal fees'!E2</f>
        <v>5300</v>
      </c>
      <c r="F24" s="101" t="s">
        <v>128</v>
      </c>
      <c r="G24" s="190"/>
      <c r="H24" s="191"/>
      <c r="I24" s="190"/>
      <c r="K24" s="190"/>
    </row>
    <row r="25" spans="1:12">
      <c r="A25" s="94"/>
      <c r="B25" s="97"/>
      <c r="C25" s="94" t="s">
        <v>90</v>
      </c>
      <c r="D25" s="95">
        <v>5000</v>
      </c>
      <c r="E25" s="95">
        <f>'Legal fees'!E3+Budget!F3</f>
        <v>13900</v>
      </c>
      <c r="F25" s="96" t="s">
        <v>130</v>
      </c>
      <c r="G25" s="190">
        <v>25000</v>
      </c>
      <c r="H25" s="191" t="s">
        <v>246</v>
      </c>
      <c r="I25" s="190">
        <v>25000</v>
      </c>
      <c r="J25" s="186" t="s">
        <v>246</v>
      </c>
      <c r="K25" s="190">
        <v>25000</v>
      </c>
      <c r="L25" s="164" t="s">
        <v>246</v>
      </c>
    </row>
    <row r="26" spans="1:12">
      <c r="A26" s="94"/>
      <c r="B26" s="97"/>
      <c r="C26" s="97" t="s">
        <v>122</v>
      </c>
      <c r="D26" s="113">
        <v>2000</v>
      </c>
      <c r="E26" s="113">
        <f>'Legal fees'!E4</f>
        <v>5690</v>
      </c>
      <c r="F26" s="102" t="s">
        <v>129</v>
      </c>
      <c r="G26" s="190">
        <v>2000</v>
      </c>
      <c r="H26" s="191" t="s">
        <v>181</v>
      </c>
      <c r="I26" s="190">
        <v>2000</v>
      </c>
      <c r="J26" s="186" t="s">
        <v>181</v>
      </c>
      <c r="K26" s="190">
        <v>2000</v>
      </c>
      <c r="L26" s="164" t="s">
        <v>181</v>
      </c>
    </row>
    <row r="27" spans="1:12">
      <c r="A27" s="94"/>
      <c r="B27" s="97"/>
      <c r="C27" s="97" t="s">
        <v>109</v>
      </c>
      <c r="D27" s="113">
        <v>10000</v>
      </c>
      <c r="E27" s="113">
        <f>'Legal fees'!E5</f>
        <v>15970</v>
      </c>
      <c r="F27" s="102" t="s">
        <v>131</v>
      </c>
      <c r="G27" s="190">
        <v>0</v>
      </c>
      <c r="H27" s="191" t="s">
        <v>182</v>
      </c>
      <c r="I27" s="190">
        <v>0</v>
      </c>
      <c r="J27" s="186" t="s">
        <v>182</v>
      </c>
      <c r="K27" s="190">
        <v>0</v>
      </c>
      <c r="L27" s="164" t="s">
        <v>182</v>
      </c>
    </row>
    <row r="28" spans="1:12">
      <c r="A28" s="94"/>
      <c r="B28" s="97"/>
      <c r="C28" s="97" t="s">
        <v>110</v>
      </c>
      <c r="D28" s="113">
        <v>20000</v>
      </c>
      <c r="E28" s="113">
        <f>'Legal fees'!E6</f>
        <v>13640</v>
      </c>
      <c r="F28" s="102" t="s">
        <v>129</v>
      </c>
      <c r="G28" s="190">
        <v>10000</v>
      </c>
      <c r="H28" s="191" t="s">
        <v>183</v>
      </c>
      <c r="I28" s="190">
        <v>10000</v>
      </c>
      <c r="J28" s="186" t="s">
        <v>183</v>
      </c>
      <c r="K28" s="190">
        <v>10000</v>
      </c>
      <c r="L28" s="164" t="s">
        <v>183</v>
      </c>
    </row>
    <row r="29" spans="1:12">
      <c r="A29" s="94"/>
      <c r="B29" s="97"/>
      <c r="C29" s="97" t="s">
        <v>111</v>
      </c>
      <c r="D29" s="113">
        <v>3000</v>
      </c>
      <c r="E29" s="113">
        <f>'Legal fees'!E7</f>
        <v>8740</v>
      </c>
      <c r="F29" s="102" t="s">
        <v>131</v>
      </c>
      <c r="G29" s="190">
        <v>0</v>
      </c>
      <c r="H29" s="191" t="s">
        <v>182</v>
      </c>
      <c r="I29" s="190">
        <v>0</v>
      </c>
      <c r="J29" s="186" t="s">
        <v>182</v>
      </c>
      <c r="K29" s="190">
        <v>0</v>
      </c>
      <c r="L29" s="164" t="s">
        <v>182</v>
      </c>
    </row>
    <row r="30" spans="1:12">
      <c r="A30" s="94"/>
      <c r="B30" s="97"/>
      <c r="C30" s="97" t="s">
        <v>123</v>
      </c>
      <c r="D30" s="113">
        <v>2000</v>
      </c>
      <c r="E30" s="113">
        <f>'Legal fees'!E8</f>
        <v>950</v>
      </c>
      <c r="F30" s="102" t="s">
        <v>129</v>
      </c>
      <c r="G30" s="190">
        <v>0</v>
      </c>
      <c r="H30" s="191" t="s">
        <v>184</v>
      </c>
      <c r="I30" s="190">
        <v>0</v>
      </c>
      <c r="J30" s="186" t="s">
        <v>184</v>
      </c>
      <c r="K30" s="190">
        <v>0</v>
      </c>
      <c r="L30" s="164" t="s">
        <v>184</v>
      </c>
    </row>
    <row r="31" spans="1:12">
      <c r="A31" s="94"/>
      <c r="B31" s="97"/>
      <c r="C31" s="97" t="s">
        <v>112</v>
      </c>
      <c r="D31" s="113">
        <v>3000</v>
      </c>
      <c r="E31" s="113">
        <f>'Legal fees'!E9</f>
        <v>0</v>
      </c>
      <c r="F31" s="102" t="s">
        <v>132</v>
      </c>
      <c r="G31" s="190">
        <v>0</v>
      </c>
      <c r="H31" s="191" t="s">
        <v>182</v>
      </c>
      <c r="I31" s="190">
        <v>0</v>
      </c>
      <c r="J31" s="186" t="s">
        <v>182</v>
      </c>
      <c r="K31" s="190">
        <v>0</v>
      </c>
      <c r="L31" s="164" t="s">
        <v>182</v>
      </c>
    </row>
    <row r="32" spans="1:12">
      <c r="A32" s="94"/>
      <c r="B32" s="97"/>
      <c r="C32" s="97" t="s">
        <v>133</v>
      </c>
      <c r="D32" s="113"/>
      <c r="E32" s="113">
        <v>0</v>
      </c>
      <c r="F32" s="102" t="s">
        <v>134</v>
      </c>
      <c r="G32" s="190"/>
      <c r="H32" s="191" t="s">
        <v>182</v>
      </c>
      <c r="I32" s="190"/>
      <c r="J32" s="186" t="s">
        <v>182</v>
      </c>
      <c r="K32" s="190">
        <v>0</v>
      </c>
      <c r="L32" s="164" t="s">
        <v>182</v>
      </c>
    </row>
    <row r="33" spans="1:12">
      <c r="A33" s="94"/>
      <c r="B33" s="97"/>
      <c r="C33" s="94" t="s">
        <v>22</v>
      </c>
      <c r="D33" s="95">
        <v>600</v>
      </c>
      <c r="E33" s="95">
        <v>351</v>
      </c>
      <c r="F33" s="96" t="s">
        <v>91</v>
      </c>
      <c r="G33" s="190">
        <v>1500</v>
      </c>
      <c r="H33" s="191" t="s">
        <v>185</v>
      </c>
      <c r="I33" s="190">
        <v>1500</v>
      </c>
      <c r="J33" s="186" t="s">
        <v>185</v>
      </c>
      <c r="K33" s="190">
        <v>1500</v>
      </c>
      <c r="L33" s="164" t="s">
        <v>185</v>
      </c>
    </row>
    <row r="34" spans="1:12">
      <c r="A34" s="94"/>
      <c r="B34" s="97"/>
      <c r="C34" s="94" t="s">
        <v>23</v>
      </c>
      <c r="D34" s="95">
        <v>15000</v>
      </c>
      <c r="E34" s="95">
        <f>(14595)*(12/10)-3000</f>
        <v>14514</v>
      </c>
      <c r="F34" s="100" t="s">
        <v>92</v>
      </c>
      <c r="G34" s="190">
        <v>15000</v>
      </c>
      <c r="H34" s="191" t="s">
        <v>180</v>
      </c>
      <c r="I34" s="190">
        <v>15000</v>
      </c>
      <c r="J34" s="186" t="s">
        <v>180</v>
      </c>
      <c r="K34" s="190">
        <v>15000</v>
      </c>
      <c r="L34" s="164" t="s">
        <v>180</v>
      </c>
    </row>
    <row r="35" spans="1:12">
      <c r="A35" s="94"/>
      <c r="B35" s="97"/>
      <c r="C35" s="94" t="s">
        <v>24</v>
      </c>
      <c r="D35" s="95">
        <v>10000</v>
      </c>
      <c r="E35" s="95">
        <v>500</v>
      </c>
      <c r="F35" s="96" t="s">
        <v>93</v>
      </c>
      <c r="G35" s="190">
        <v>1000</v>
      </c>
      <c r="H35" s="191" t="s">
        <v>191</v>
      </c>
      <c r="I35" s="190">
        <v>1000</v>
      </c>
      <c r="J35" s="186" t="s">
        <v>191</v>
      </c>
      <c r="K35" s="190">
        <v>1000</v>
      </c>
      <c r="L35" s="164" t="s">
        <v>191</v>
      </c>
    </row>
    <row r="36" spans="1:12">
      <c r="A36" s="94"/>
      <c r="B36" s="97"/>
      <c r="C36" s="94" t="s">
        <v>194</v>
      </c>
      <c r="D36" s="95"/>
      <c r="E36" s="95"/>
      <c r="F36" s="96"/>
      <c r="G36" s="190">
        <v>4000</v>
      </c>
      <c r="H36" s="191" t="s">
        <v>197</v>
      </c>
      <c r="I36" s="190">
        <v>4000</v>
      </c>
      <c r="J36" s="186" t="s">
        <v>197</v>
      </c>
      <c r="K36" s="190">
        <v>4000</v>
      </c>
      <c r="L36" s="164" t="s">
        <v>197</v>
      </c>
    </row>
    <row r="37" spans="1:12">
      <c r="A37" s="94"/>
      <c r="B37" s="97"/>
      <c r="C37" s="94" t="s">
        <v>95</v>
      </c>
      <c r="D37" s="95">
        <v>0</v>
      </c>
      <c r="E37" s="95">
        <v>286</v>
      </c>
      <c r="F37" s="96" t="s">
        <v>94</v>
      </c>
      <c r="G37" s="190">
        <v>500</v>
      </c>
      <c r="H37" s="191"/>
      <c r="I37" s="190">
        <v>500</v>
      </c>
      <c r="K37" s="190">
        <v>500</v>
      </c>
    </row>
    <row r="38" spans="1:12">
      <c r="A38" s="94"/>
      <c r="B38" s="103"/>
      <c r="C38" s="103" t="s">
        <v>25</v>
      </c>
      <c r="D38" s="104">
        <f>SUM(D20:D37)</f>
        <v>92050</v>
      </c>
      <c r="E38" s="104">
        <f>SUM(E20:E37)</f>
        <v>94887</v>
      </c>
      <c r="F38" s="105"/>
      <c r="G38" s="192">
        <f>SUM(G20:G37)</f>
        <v>72050</v>
      </c>
      <c r="H38" s="191"/>
      <c r="I38" s="192">
        <f>SUM(I20:I37)</f>
        <v>72050</v>
      </c>
      <c r="K38" s="192">
        <f>SUM(K20:K37)</f>
        <v>72050</v>
      </c>
    </row>
    <row r="39" spans="1:12">
      <c r="A39" s="94"/>
      <c r="B39" s="103"/>
      <c r="C39" s="106"/>
      <c r="D39" s="107"/>
      <c r="E39" s="104"/>
      <c r="F39" s="105"/>
      <c r="G39" s="192"/>
      <c r="H39" s="191"/>
      <c r="I39" s="192"/>
      <c r="K39" s="192"/>
    </row>
    <row r="40" spans="1:12">
      <c r="A40" s="94"/>
      <c r="B40" s="103"/>
      <c r="C40" s="108" t="s">
        <v>26</v>
      </c>
      <c r="D40" s="109"/>
      <c r="E40" s="104"/>
      <c r="F40" s="105"/>
      <c r="G40" s="192"/>
      <c r="H40" s="191"/>
      <c r="I40" s="192"/>
      <c r="K40" s="192"/>
    </row>
    <row r="41" spans="1:12">
      <c r="A41" s="94"/>
      <c r="B41" s="103"/>
      <c r="C41" s="110" t="s">
        <v>27</v>
      </c>
      <c r="D41" s="111">
        <v>1210</v>
      </c>
      <c r="E41" s="95">
        <v>1309</v>
      </c>
      <c r="F41" s="96" t="s">
        <v>94</v>
      </c>
      <c r="G41" s="190">
        <v>1309</v>
      </c>
      <c r="H41" s="191" t="s">
        <v>186</v>
      </c>
      <c r="I41" s="190">
        <v>1309</v>
      </c>
      <c r="J41" s="186" t="s">
        <v>186</v>
      </c>
      <c r="K41" s="190">
        <v>1309</v>
      </c>
      <c r="L41" s="164" t="s">
        <v>186</v>
      </c>
    </row>
    <row r="42" spans="1:12">
      <c r="A42" s="94"/>
      <c r="B42" s="103"/>
      <c r="C42" s="110" t="s">
        <v>28</v>
      </c>
      <c r="D42" s="111">
        <v>0</v>
      </c>
      <c r="E42" s="95">
        <v>0</v>
      </c>
      <c r="F42" s="96" t="s">
        <v>139</v>
      </c>
      <c r="G42" s="190">
        <v>5000</v>
      </c>
      <c r="H42" s="191" t="s">
        <v>198</v>
      </c>
      <c r="I42" s="190">
        <v>5000</v>
      </c>
      <c r="J42" s="186" t="s">
        <v>198</v>
      </c>
      <c r="K42" s="190">
        <v>5000</v>
      </c>
      <c r="L42" s="164" t="s">
        <v>198</v>
      </c>
    </row>
    <row r="43" spans="1:12">
      <c r="A43" s="94"/>
      <c r="B43" s="94"/>
      <c r="C43" s="94" t="s">
        <v>195</v>
      </c>
      <c r="D43" s="95">
        <v>0</v>
      </c>
      <c r="E43" s="95">
        <v>3000</v>
      </c>
      <c r="F43" s="96" t="s">
        <v>96</v>
      </c>
      <c r="G43" s="190">
        <v>2500</v>
      </c>
      <c r="H43" s="191" t="s">
        <v>199</v>
      </c>
      <c r="I43" s="190">
        <v>1500</v>
      </c>
      <c r="J43" s="186" t="s">
        <v>255</v>
      </c>
      <c r="K43" s="190">
        <v>2500</v>
      </c>
      <c r="L43" s="164" t="s">
        <v>199</v>
      </c>
    </row>
    <row r="44" spans="1:12">
      <c r="A44" s="94"/>
      <c r="B44" s="94"/>
      <c r="C44" s="94" t="s">
        <v>196</v>
      </c>
      <c r="D44" s="95"/>
      <c r="E44" s="95"/>
      <c r="F44" s="96"/>
      <c r="G44" s="190">
        <v>1000</v>
      </c>
      <c r="H44" s="191" t="s">
        <v>200</v>
      </c>
      <c r="I44" s="190">
        <v>0</v>
      </c>
      <c r="J44" s="186" t="s">
        <v>256</v>
      </c>
      <c r="K44" s="190">
        <v>1000</v>
      </c>
      <c r="L44" s="164" t="s">
        <v>199</v>
      </c>
    </row>
    <row r="45" spans="1:12">
      <c r="A45" s="94"/>
      <c r="B45" s="94"/>
      <c r="C45" s="94" t="s">
        <v>113</v>
      </c>
      <c r="D45" s="95">
        <v>0</v>
      </c>
      <c r="E45" s="95">
        <v>0</v>
      </c>
      <c r="F45" s="96" t="s">
        <v>139</v>
      </c>
      <c r="G45" s="190">
        <v>0</v>
      </c>
      <c r="H45" s="191" t="s">
        <v>201</v>
      </c>
      <c r="I45" s="190">
        <v>0</v>
      </c>
      <c r="J45" s="186" t="s">
        <v>201</v>
      </c>
      <c r="K45" s="190">
        <v>0</v>
      </c>
      <c r="L45" s="164" t="s">
        <v>201</v>
      </c>
    </row>
    <row r="46" spans="1:12">
      <c r="A46" s="94"/>
      <c r="B46" s="94"/>
      <c r="C46" s="103" t="s">
        <v>29</v>
      </c>
      <c r="D46" s="104">
        <f>SUM(D41:D45)</f>
        <v>1210</v>
      </c>
      <c r="E46" s="104">
        <f>SUM(E41:E45)</f>
        <v>4309</v>
      </c>
      <c r="F46" s="105"/>
      <c r="G46" s="192">
        <f>SUM(G41:G45)</f>
        <v>9809</v>
      </c>
      <c r="H46" s="191"/>
      <c r="I46" s="192">
        <f>SUM(I41:I45)</f>
        <v>7809</v>
      </c>
      <c r="K46" s="192">
        <f>SUM(K41:K45)</f>
        <v>9809</v>
      </c>
    </row>
    <row r="47" spans="1:12">
      <c r="A47" s="94"/>
      <c r="B47" s="103"/>
      <c r="C47" s="103"/>
      <c r="D47" s="112"/>
      <c r="E47" s="104"/>
      <c r="F47" s="105"/>
      <c r="G47" s="192"/>
      <c r="H47" s="191"/>
      <c r="I47" s="192"/>
      <c r="K47" s="192"/>
    </row>
    <row r="48" spans="1:12">
      <c r="A48" s="94"/>
      <c r="B48" s="97"/>
      <c r="C48" s="98" t="s">
        <v>30</v>
      </c>
      <c r="D48" s="99"/>
      <c r="E48" s="95"/>
      <c r="F48" s="96"/>
      <c r="G48" s="190"/>
      <c r="H48" s="191"/>
      <c r="I48" s="190"/>
      <c r="K48" s="190"/>
    </row>
    <row r="49" spans="1:12">
      <c r="A49" s="94"/>
      <c r="B49" s="97"/>
      <c r="C49" s="94" t="s">
        <v>31</v>
      </c>
      <c r="D49" s="95">
        <v>1000</v>
      </c>
      <c r="E49" s="95">
        <v>1000</v>
      </c>
      <c r="F49" s="96" t="s">
        <v>94</v>
      </c>
      <c r="G49" s="190">
        <v>1000</v>
      </c>
      <c r="H49" s="191" t="s">
        <v>94</v>
      </c>
      <c r="I49" s="190">
        <v>1000</v>
      </c>
      <c r="J49" s="186" t="s">
        <v>94</v>
      </c>
      <c r="K49" s="190">
        <v>1000</v>
      </c>
      <c r="L49" s="164" t="s">
        <v>94</v>
      </c>
    </row>
    <row r="50" spans="1:12">
      <c r="A50" s="94"/>
      <c r="B50" s="97"/>
      <c r="C50" s="94" t="s">
        <v>32</v>
      </c>
      <c r="D50" s="95">
        <v>3200</v>
      </c>
      <c r="E50" s="95">
        <v>3320</v>
      </c>
      <c r="F50" s="96" t="s">
        <v>94</v>
      </c>
      <c r="G50" s="190">
        <v>3200</v>
      </c>
      <c r="H50" s="191" t="s">
        <v>94</v>
      </c>
      <c r="I50" s="190">
        <v>3200</v>
      </c>
      <c r="J50" s="186" t="s">
        <v>94</v>
      </c>
      <c r="K50" s="190">
        <v>3200</v>
      </c>
      <c r="L50" s="164" t="s">
        <v>94</v>
      </c>
    </row>
    <row r="51" spans="1:12">
      <c r="A51" s="94"/>
      <c r="B51" s="97"/>
      <c r="C51" s="94" t="s">
        <v>33</v>
      </c>
      <c r="D51" s="95">
        <v>200</v>
      </c>
      <c r="E51" s="95">
        <v>316</v>
      </c>
      <c r="F51" s="96" t="s">
        <v>100</v>
      </c>
      <c r="G51" s="190">
        <v>250</v>
      </c>
      <c r="H51" s="191" t="s">
        <v>94</v>
      </c>
      <c r="I51" s="190">
        <v>250</v>
      </c>
      <c r="J51" s="186" t="s">
        <v>94</v>
      </c>
      <c r="K51" s="190">
        <v>250</v>
      </c>
      <c r="L51" s="164" t="s">
        <v>94</v>
      </c>
    </row>
    <row r="52" spans="1:12">
      <c r="A52" s="94"/>
      <c r="B52" s="97"/>
      <c r="C52" s="103" t="s">
        <v>34</v>
      </c>
      <c r="D52" s="104">
        <f>SUM(D48:D51)</f>
        <v>4400</v>
      </c>
      <c r="E52" s="104">
        <f>SUM(E48:E51)</f>
        <v>4636</v>
      </c>
      <c r="F52" s="105"/>
      <c r="G52" s="192">
        <f>SUM(G48:G51)</f>
        <v>4450</v>
      </c>
      <c r="H52" s="191"/>
      <c r="I52" s="192">
        <f>SUM(I48:I51)</f>
        <v>4450</v>
      </c>
      <c r="K52" s="192">
        <f>SUM(K48:K51)</f>
        <v>4450</v>
      </c>
    </row>
    <row r="53" spans="1:12">
      <c r="A53" s="94"/>
      <c r="B53" s="97"/>
      <c r="C53" s="94"/>
      <c r="D53" s="95"/>
      <c r="E53" s="95"/>
      <c r="F53" s="96" t="s">
        <v>143</v>
      </c>
      <c r="G53" s="190"/>
      <c r="H53" s="191"/>
      <c r="I53" s="190"/>
      <c r="K53" s="190"/>
    </row>
    <row r="54" spans="1:12">
      <c r="A54" s="94"/>
      <c r="B54" s="97"/>
      <c r="C54" s="98" t="s">
        <v>35</v>
      </c>
      <c r="D54" s="99"/>
      <c r="E54" s="95"/>
      <c r="F54" s="96"/>
      <c r="G54" s="190"/>
      <c r="H54" s="191"/>
      <c r="I54" s="190"/>
      <c r="K54" s="190"/>
    </row>
    <row r="55" spans="1:12">
      <c r="A55" s="94"/>
      <c r="B55" s="97"/>
      <c r="C55" s="94" t="s">
        <v>36</v>
      </c>
      <c r="D55" s="95">
        <v>2139</v>
      </c>
      <c r="E55" s="95">
        <v>2139</v>
      </c>
      <c r="F55" s="96" t="s">
        <v>94</v>
      </c>
      <c r="G55" s="190">
        <v>2200</v>
      </c>
      <c r="H55" s="191" t="s">
        <v>243</v>
      </c>
      <c r="I55" s="190">
        <v>2200</v>
      </c>
      <c r="J55" s="186" t="s">
        <v>243</v>
      </c>
      <c r="K55" s="190">
        <v>2200</v>
      </c>
      <c r="L55" s="164" t="s">
        <v>243</v>
      </c>
    </row>
    <row r="56" spans="1:12">
      <c r="A56" s="94"/>
      <c r="B56" s="97"/>
      <c r="C56" s="94" t="s">
        <v>37</v>
      </c>
      <c r="D56" s="95">
        <v>1025</v>
      </c>
      <c r="E56" s="95">
        <v>0</v>
      </c>
      <c r="F56" s="96" t="s">
        <v>98</v>
      </c>
      <c r="G56" s="190">
        <v>1100</v>
      </c>
      <c r="H56" s="191" t="s">
        <v>94</v>
      </c>
      <c r="I56" s="190">
        <v>1100</v>
      </c>
      <c r="J56" s="186" t="s">
        <v>94</v>
      </c>
      <c r="K56" s="190">
        <v>1100</v>
      </c>
      <c r="L56" s="164" t="s">
        <v>94</v>
      </c>
    </row>
    <row r="57" spans="1:12">
      <c r="A57" s="94"/>
      <c r="B57" s="97"/>
      <c r="C57" s="94" t="s">
        <v>99</v>
      </c>
      <c r="D57" s="95">
        <v>0</v>
      </c>
      <c r="E57" s="95">
        <v>400</v>
      </c>
      <c r="F57" s="96" t="s">
        <v>94</v>
      </c>
      <c r="G57" s="190">
        <v>400</v>
      </c>
      <c r="H57" s="191" t="s">
        <v>191</v>
      </c>
      <c r="I57" s="190">
        <v>400</v>
      </c>
      <c r="J57" s="186" t="s">
        <v>191</v>
      </c>
      <c r="K57" s="190">
        <v>400</v>
      </c>
      <c r="L57" s="164" t="s">
        <v>191</v>
      </c>
    </row>
    <row r="58" spans="1:12">
      <c r="A58" s="94"/>
      <c r="B58" s="97"/>
      <c r="C58" s="103" t="s">
        <v>38</v>
      </c>
      <c r="D58" s="104">
        <f>SUM(D55:D57)</f>
        <v>3164</v>
      </c>
      <c r="E58" s="104">
        <f>SUM(E55:E57)</f>
        <v>2539</v>
      </c>
      <c r="F58" s="105"/>
      <c r="G58" s="192">
        <f>SUM(G55:G57)</f>
        <v>3700</v>
      </c>
      <c r="H58" s="191"/>
      <c r="I58" s="192">
        <f>SUM(I55:I57)</f>
        <v>3700</v>
      </c>
      <c r="K58" s="192">
        <f>SUM(K55:K57)</f>
        <v>3700</v>
      </c>
    </row>
    <row r="59" spans="1:12">
      <c r="A59" s="97"/>
      <c r="B59" s="97"/>
      <c r="C59" s="97"/>
      <c r="D59" s="113"/>
      <c r="E59" s="113"/>
      <c r="F59" s="114"/>
      <c r="G59" s="193"/>
      <c r="H59" s="191"/>
      <c r="I59" s="193"/>
      <c r="K59" s="193"/>
    </row>
    <row r="60" spans="1:12">
      <c r="A60" s="94"/>
      <c r="B60" s="103"/>
      <c r="C60" s="108" t="s">
        <v>39</v>
      </c>
      <c r="D60" s="109"/>
      <c r="E60" s="104"/>
      <c r="F60" s="105"/>
      <c r="G60" s="192"/>
      <c r="H60" s="191"/>
      <c r="I60" s="192"/>
      <c r="K60" s="192"/>
    </row>
    <row r="61" spans="1:12">
      <c r="A61" s="94"/>
      <c r="B61" s="94"/>
      <c r="C61" s="94" t="s">
        <v>40</v>
      </c>
      <c r="D61" s="95">
        <v>600</v>
      </c>
      <c r="E61" s="95">
        <v>600</v>
      </c>
      <c r="F61" s="96" t="s">
        <v>101</v>
      </c>
      <c r="G61" s="190">
        <v>600</v>
      </c>
      <c r="H61" s="191" t="s">
        <v>187</v>
      </c>
      <c r="I61" s="190">
        <v>600</v>
      </c>
      <c r="J61" s="186" t="s">
        <v>187</v>
      </c>
      <c r="K61" s="190">
        <v>600</v>
      </c>
      <c r="L61" s="164" t="s">
        <v>187</v>
      </c>
    </row>
    <row r="62" spans="1:12">
      <c r="A62" s="97"/>
      <c r="B62" s="97"/>
      <c r="C62" s="94" t="s">
        <v>41</v>
      </c>
      <c r="D62" s="95">
        <v>3600</v>
      </c>
      <c r="E62" s="113">
        <v>3600</v>
      </c>
      <c r="F62" s="114" t="s">
        <v>101</v>
      </c>
      <c r="G62" s="193">
        <v>3600</v>
      </c>
      <c r="H62" s="191" t="s">
        <v>94</v>
      </c>
      <c r="I62" s="193">
        <v>3600</v>
      </c>
      <c r="J62" s="186" t="s">
        <v>94</v>
      </c>
      <c r="K62" s="193">
        <v>3600</v>
      </c>
      <c r="L62" s="164" t="s">
        <v>94</v>
      </c>
    </row>
    <row r="63" spans="1:12">
      <c r="A63" s="97"/>
      <c r="B63" s="97"/>
      <c r="C63" s="94" t="s">
        <v>42</v>
      </c>
      <c r="D63" s="95">
        <v>12800</v>
      </c>
      <c r="E63" s="113">
        <v>2000</v>
      </c>
      <c r="F63" s="114" t="s">
        <v>144</v>
      </c>
      <c r="G63" s="193">
        <v>5000</v>
      </c>
      <c r="H63" s="191" t="s">
        <v>192</v>
      </c>
      <c r="I63" s="193">
        <v>5000</v>
      </c>
      <c r="J63" s="186" t="s">
        <v>192</v>
      </c>
      <c r="K63" s="193">
        <v>5000</v>
      </c>
      <c r="L63" s="164" t="s">
        <v>192</v>
      </c>
    </row>
    <row r="64" spans="1:12">
      <c r="A64" s="97"/>
      <c r="B64" s="97"/>
      <c r="C64" s="94" t="s">
        <v>102</v>
      </c>
      <c r="D64" s="95">
        <v>940</v>
      </c>
      <c r="E64" s="113">
        <v>900</v>
      </c>
      <c r="F64" s="114" t="s">
        <v>101</v>
      </c>
      <c r="G64" s="193">
        <v>3500</v>
      </c>
      <c r="H64" s="191" t="s">
        <v>193</v>
      </c>
      <c r="I64" s="193">
        <v>3500</v>
      </c>
      <c r="J64" s="186" t="s">
        <v>193</v>
      </c>
      <c r="K64" s="193">
        <v>3500</v>
      </c>
      <c r="L64" s="164" t="s">
        <v>193</v>
      </c>
    </row>
    <row r="65" spans="1:12">
      <c r="A65" s="97"/>
      <c r="B65" s="97"/>
      <c r="C65" s="94" t="s">
        <v>43</v>
      </c>
      <c r="D65" s="95">
        <v>420</v>
      </c>
      <c r="E65" s="113">
        <v>400</v>
      </c>
      <c r="F65" s="114" t="s">
        <v>101</v>
      </c>
      <c r="G65" s="193">
        <v>450</v>
      </c>
      <c r="H65" s="191" t="s">
        <v>101</v>
      </c>
      <c r="I65" s="193">
        <v>450</v>
      </c>
      <c r="J65" s="186" t="s">
        <v>101</v>
      </c>
      <c r="K65" s="193">
        <v>450</v>
      </c>
      <c r="L65" s="164" t="s">
        <v>101</v>
      </c>
    </row>
    <row r="66" spans="1:12">
      <c r="A66" s="97"/>
      <c r="B66" s="97"/>
      <c r="C66" s="94" t="s">
        <v>44</v>
      </c>
      <c r="D66" s="95">
        <v>600</v>
      </c>
      <c r="E66" s="113">
        <v>1000</v>
      </c>
      <c r="F66" s="114" t="s">
        <v>101</v>
      </c>
      <c r="G66" s="193">
        <v>1200</v>
      </c>
      <c r="H66" s="191" t="s">
        <v>101</v>
      </c>
      <c r="I66" s="193">
        <v>1200</v>
      </c>
      <c r="J66" s="186" t="s">
        <v>101</v>
      </c>
      <c r="K66" s="193">
        <v>1200</v>
      </c>
      <c r="L66" s="164" t="s">
        <v>101</v>
      </c>
    </row>
    <row r="67" spans="1:12">
      <c r="A67" s="97"/>
      <c r="B67" s="97"/>
      <c r="C67" s="94" t="s">
        <v>45</v>
      </c>
      <c r="D67" s="95">
        <v>500</v>
      </c>
      <c r="E67" s="113">
        <v>325</v>
      </c>
      <c r="F67" s="114" t="s">
        <v>142</v>
      </c>
      <c r="G67" s="193">
        <v>1200</v>
      </c>
      <c r="H67" s="191" t="s">
        <v>101</v>
      </c>
      <c r="I67" s="193">
        <v>1200</v>
      </c>
      <c r="J67" s="186" t="s">
        <v>101</v>
      </c>
      <c r="K67" s="193">
        <v>1200</v>
      </c>
      <c r="L67" s="164" t="s">
        <v>101</v>
      </c>
    </row>
    <row r="68" spans="1:12">
      <c r="A68" s="97"/>
      <c r="B68" s="97"/>
      <c r="C68" s="94" t="s">
        <v>103</v>
      </c>
      <c r="D68" s="95">
        <v>2000</v>
      </c>
      <c r="E68" s="113">
        <v>1400</v>
      </c>
      <c r="F68" s="114" t="s">
        <v>104</v>
      </c>
      <c r="G68" s="193">
        <v>2000</v>
      </c>
      <c r="H68" s="191" t="s">
        <v>101</v>
      </c>
      <c r="I68" s="193">
        <v>2000</v>
      </c>
      <c r="J68" s="186" t="s">
        <v>101</v>
      </c>
      <c r="K68" s="193">
        <v>2000</v>
      </c>
      <c r="L68" s="164" t="s">
        <v>101</v>
      </c>
    </row>
    <row r="69" spans="1:12">
      <c r="A69" s="97"/>
      <c r="B69" s="97"/>
      <c r="C69" s="94" t="s">
        <v>105</v>
      </c>
      <c r="D69" s="95">
        <v>500</v>
      </c>
      <c r="E69" s="113">
        <v>0</v>
      </c>
      <c r="F69" s="114"/>
      <c r="G69" s="193">
        <v>500</v>
      </c>
      <c r="H69" s="191" t="s">
        <v>101</v>
      </c>
      <c r="I69" s="193">
        <v>500</v>
      </c>
      <c r="J69" s="186" t="s">
        <v>101</v>
      </c>
      <c r="K69" s="193">
        <v>500</v>
      </c>
      <c r="L69" s="164" t="s">
        <v>101</v>
      </c>
    </row>
    <row r="70" spans="1:12">
      <c r="A70" s="97"/>
      <c r="B70" s="97"/>
      <c r="C70" s="94" t="s">
        <v>106</v>
      </c>
      <c r="D70" s="95">
        <v>0</v>
      </c>
      <c r="E70" s="113">
        <v>432</v>
      </c>
      <c r="F70" s="114" t="s">
        <v>107</v>
      </c>
      <c r="G70" s="193">
        <v>1000</v>
      </c>
      <c r="H70" s="191" t="s">
        <v>101</v>
      </c>
      <c r="I70" s="193">
        <v>1000</v>
      </c>
      <c r="J70" s="186" t="s">
        <v>101</v>
      </c>
      <c r="K70" s="193">
        <v>1000</v>
      </c>
      <c r="L70" s="164" t="s">
        <v>101</v>
      </c>
    </row>
    <row r="71" spans="1:12">
      <c r="A71" s="115"/>
      <c r="B71" s="115"/>
      <c r="C71" s="103" t="s">
        <v>46</v>
      </c>
      <c r="D71" s="116">
        <f>SUM(D61:D70)</f>
        <v>21960</v>
      </c>
      <c r="E71" s="116">
        <f>SUM(E61:E70)</f>
        <v>10657</v>
      </c>
      <c r="F71" s="117"/>
      <c r="G71" s="194">
        <f>SUM(G61:G70)</f>
        <v>19050</v>
      </c>
      <c r="H71" s="191"/>
      <c r="I71" s="194">
        <f>SUM(I61:I70)</f>
        <v>19050</v>
      </c>
      <c r="K71" s="194">
        <f>SUM(K61:K70)</f>
        <v>19050</v>
      </c>
    </row>
    <row r="72" spans="1:12">
      <c r="A72" s="97"/>
      <c r="B72" s="97"/>
      <c r="C72" s="97"/>
      <c r="D72" s="113"/>
      <c r="E72" s="113"/>
      <c r="F72" s="21"/>
      <c r="G72" s="193"/>
      <c r="H72" s="191"/>
      <c r="I72" s="193"/>
      <c r="K72" s="193"/>
    </row>
    <row r="73" spans="1:12">
      <c r="A73" s="97"/>
      <c r="B73" s="169" t="s">
        <v>47</v>
      </c>
      <c r="C73" s="169"/>
      <c r="D73" s="170">
        <f>D71+D58+D52+D46+D38</f>
        <v>122784</v>
      </c>
      <c r="E73" s="170">
        <f>E71+E58+E52+E46+E38</f>
        <v>117028</v>
      </c>
      <c r="F73" s="23"/>
      <c r="G73" s="195">
        <f>G38+G46+G52+G58+G71</f>
        <v>109059</v>
      </c>
      <c r="H73" s="191"/>
      <c r="I73" s="195">
        <f>I38+I46+I52+I58+I71</f>
        <v>107059</v>
      </c>
      <c r="K73" s="195">
        <f>K38+K46+K52+K58+K71</f>
        <v>109059</v>
      </c>
    </row>
    <row r="74" spans="1:12">
      <c r="A74" s="171"/>
      <c r="B74" s="172" t="s">
        <v>188</v>
      </c>
      <c r="C74" s="173"/>
      <c r="D74" s="174">
        <v>0</v>
      </c>
      <c r="E74" s="174">
        <v>0</v>
      </c>
      <c r="F74" s="175"/>
      <c r="G74" s="174">
        <f>-G73/4</f>
        <v>-27264.75</v>
      </c>
      <c r="H74" s="196" t="s">
        <v>189</v>
      </c>
      <c r="I74" s="174">
        <v>0</v>
      </c>
      <c r="J74" s="186" t="s">
        <v>189</v>
      </c>
      <c r="K74" s="174">
        <f>-K73/8</f>
        <v>-13632.375</v>
      </c>
      <c r="L74" s="164" t="s">
        <v>189</v>
      </c>
    </row>
    <row r="75" spans="1:12" ht="16" thickBot="1">
      <c r="A75" s="171"/>
      <c r="B75" s="172" t="s">
        <v>49</v>
      </c>
      <c r="C75" s="173"/>
      <c r="D75" s="176">
        <v>0</v>
      </c>
      <c r="E75" s="176">
        <v>0</v>
      </c>
      <c r="F75" s="175"/>
      <c r="G75" s="174">
        <f>-G73*0.25</f>
        <v>-27264.75</v>
      </c>
      <c r="H75" s="196" t="s">
        <v>48</v>
      </c>
      <c r="I75" s="174">
        <v>0</v>
      </c>
      <c r="J75" s="186" t="s">
        <v>48</v>
      </c>
      <c r="K75" s="174">
        <f>-K73/8</f>
        <v>-13632.375</v>
      </c>
      <c r="L75" s="164" t="s">
        <v>259</v>
      </c>
    </row>
    <row r="76" spans="1:12">
      <c r="A76" s="171"/>
      <c r="B76" s="177" t="s">
        <v>50</v>
      </c>
      <c r="C76" s="177"/>
      <c r="D76" s="178">
        <f>D73-D75-D74+D74</f>
        <v>122784</v>
      </c>
      <c r="E76" s="178">
        <f>E73-E75-E74+E74</f>
        <v>117028</v>
      </c>
      <c r="F76" s="179"/>
      <c r="G76" s="197">
        <f>G73+G74+G75</f>
        <v>54529.5</v>
      </c>
      <c r="H76" s="196"/>
      <c r="I76" s="197">
        <f>I73+I74+I75</f>
        <v>107059</v>
      </c>
      <c r="K76" s="197">
        <f>K73+K74+K75</f>
        <v>81794.25</v>
      </c>
    </row>
    <row r="77" spans="1:12" s="164" customFormat="1">
      <c r="A77" s="180"/>
      <c r="B77" s="181"/>
      <c r="C77" s="181"/>
      <c r="D77" s="182"/>
      <c r="E77" s="182"/>
      <c r="F77" s="183"/>
      <c r="G77" s="182"/>
      <c r="H77" s="186"/>
      <c r="I77" s="182"/>
      <c r="J77" s="186"/>
      <c r="K77" s="182"/>
    </row>
    <row r="78" spans="1:12">
      <c r="A78" s="118"/>
      <c r="B78" s="119" t="s">
        <v>51</v>
      </c>
      <c r="C78" s="119"/>
      <c r="D78" s="120"/>
      <c r="E78" s="120"/>
      <c r="F78" s="121"/>
      <c r="G78" s="198"/>
      <c r="H78" s="199"/>
      <c r="I78" s="198"/>
      <c r="K78" s="198"/>
    </row>
    <row r="79" spans="1:12" s="65" customFormat="1">
      <c r="A79" s="122"/>
      <c r="B79" s="123"/>
      <c r="C79" s="124" t="s">
        <v>207</v>
      </c>
      <c r="D79" s="125"/>
      <c r="E79" s="126"/>
      <c r="F79" s="127"/>
      <c r="G79" s="200"/>
      <c r="H79" s="201"/>
      <c r="I79" s="200"/>
      <c r="J79" s="202"/>
      <c r="K79" s="200"/>
      <c r="L79" s="165"/>
    </row>
    <row r="80" spans="1:12" s="65" customFormat="1">
      <c r="A80" s="122"/>
      <c r="B80" s="123"/>
      <c r="C80" s="153" t="s">
        <v>235</v>
      </c>
      <c r="D80" s="125"/>
      <c r="E80" s="126"/>
      <c r="F80" s="127"/>
      <c r="G80" s="200"/>
      <c r="H80" s="201"/>
      <c r="I80" s="200"/>
      <c r="J80" s="202"/>
      <c r="K80" s="200"/>
      <c r="L80" s="165"/>
    </row>
    <row r="81" spans="1:12">
      <c r="A81" s="118"/>
      <c r="B81" s="119"/>
      <c r="C81" s="154" t="s">
        <v>228</v>
      </c>
      <c r="D81" s="129">
        <v>37275</v>
      </c>
      <c r="E81" s="129">
        <v>0</v>
      </c>
      <c r="F81" s="130" t="s">
        <v>229</v>
      </c>
      <c r="G81" s="203"/>
      <c r="H81" s="199"/>
      <c r="I81" s="203">
        <v>0</v>
      </c>
      <c r="K81" s="203">
        <v>0</v>
      </c>
    </row>
    <row r="82" spans="1:12">
      <c r="A82" s="118"/>
      <c r="B82" s="119"/>
      <c r="C82" s="154" t="s">
        <v>209</v>
      </c>
      <c r="D82" s="129"/>
      <c r="E82" s="129">
        <f>'Prog Dev'!B4</f>
        <v>10000</v>
      </c>
      <c r="F82" s="130" t="s">
        <v>230</v>
      </c>
      <c r="G82" s="203"/>
      <c r="H82" s="199"/>
      <c r="I82" s="203"/>
      <c r="K82" s="203"/>
    </row>
    <row r="83" spans="1:12">
      <c r="A83" s="118"/>
      <c r="B83" s="119"/>
      <c r="C83" s="154" t="s">
        <v>56</v>
      </c>
      <c r="D83" s="129">
        <v>10000</v>
      </c>
      <c r="E83" s="129">
        <f>'Prog Dev'!B6</f>
        <v>7126</v>
      </c>
      <c r="F83" s="130" t="s">
        <v>94</v>
      </c>
      <c r="G83" s="203">
        <v>10000</v>
      </c>
      <c r="H83" s="199" t="s">
        <v>237</v>
      </c>
      <c r="I83" s="203">
        <v>10000</v>
      </c>
      <c r="J83" s="186" t="s">
        <v>237</v>
      </c>
      <c r="K83" s="203">
        <v>10000</v>
      </c>
      <c r="L83" s="164" t="s">
        <v>237</v>
      </c>
    </row>
    <row r="84" spans="1:12">
      <c r="A84" s="118"/>
      <c r="B84" s="119"/>
      <c r="C84" s="154" t="s">
        <v>210</v>
      </c>
      <c r="D84" s="129">
        <v>0</v>
      </c>
      <c r="E84" s="129">
        <f>'Prog Dev'!B5</f>
        <v>47000</v>
      </c>
      <c r="F84" s="130"/>
      <c r="G84" s="203"/>
      <c r="H84" s="199"/>
      <c r="I84" s="203"/>
      <c r="K84" s="203"/>
    </row>
    <row r="85" spans="1:12">
      <c r="A85" s="118"/>
      <c r="B85" s="119"/>
      <c r="C85" s="154" t="s">
        <v>53</v>
      </c>
      <c r="D85" s="129">
        <v>10000</v>
      </c>
      <c r="E85" s="131">
        <v>0</v>
      </c>
      <c r="F85" s="121"/>
      <c r="G85" s="203"/>
      <c r="H85" s="199"/>
      <c r="I85" s="203">
        <v>0</v>
      </c>
      <c r="K85" s="203">
        <v>0</v>
      </c>
    </row>
    <row r="86" spans="1:12">
      <c r="A86" s="118"/>
      <c r="B86" s="119"/>
      <c r="C86" s="154" t="s">
        <v>54</v>
      </c>
      <c r="D86" s="129">
        <v>0</v>
      </c>
      <c r="E86" s="131">
        <v>0</v>
      </c>
      <c r="F86" s="121"/>
      <c r="G86" s="203">
        <v>0</v>
      </c>
      <c r="H86" s="199"/>
      <c r="I86" s="203">
        <v>0</v>
      </c>
      <c r="K86" s="203">
        <v>0</v>
      </c>
    </row>
    <row r="87" spans="1:12" s="66" customFormat="1">
      <c r="A87" s="132"/>
      <c r="B87" s="133"/>
      <c r="C87" s="133" t="s">
        <v>231</v>
      </c>
      <c r="D87" s="134">
        <f>SUM(D81:D86)</f>
        <v>57275</v>
      </c>
      <c r="E87" s="134">
        <f>SUM(E81:E86)</f>
        <v>64126</v>
      </c>
      <c r="F87" s="135"/>
      <c r="G87" s="204">
        <f>SUM(G81:G86)</f>
        <v>10000</v>
      </c>
      <c r="H87" s="205"/>
      <c r="I87" s="204">
        <f>SUM(I81:I86)</f>
        <v>10000</v>
      </c>
      <c r="J87" s="206"/>
      <c r="K87" s="204">
        <f>SUM(K81:K86)</f>
        <v>10000</v>
      </c>
      <c r="L87" s="166"/>
    </row>
    <row r="88" spans="1:12" s="66" customFormat="1">
      <c r="A88" s="132"/>
      <c r="B88" s="133"/>
      <c r="C88" s="153" t="s">
        <v>213</v>
      </c>
      <c r="D88" s="134"/>
      <c r="E88" s="134"/>
      <c r="F88" s="135"/>
      <c r="G88" s="204"/>
      <c r="H88" s="205"/>
      <c r="I88" s="204"/>
      <c r="J88" s="206"/>
      <c r="K88" s="204"/>
      <c r="L88" s="166"/>
    </row>
    <row r="89" spans="1:12" s="66" customFormat="1">
      <c r="A89" s="132"/>
      <c r="B89" s="133"/>
      <c r="C89" s="156" t="s">
        <v>209</v>
      </c>
      <c r="D89" s="157"/>
      <c r="E89" s="157"/>
      <c r="F89" s="158"/>
      <c r="G89" s="207">
        <v>5000</v>
      </c>
      <c r="H89" s="208" t="s">
        <v>248</v>
      </c>
      <c r="I89" s="204">
        <v>5000</v>
      </c>
      <c r="J89" s="209" t="s">
        <v>248</v>
      </c>
      <c r="K89" s="204">
        <v>5000</v>
      </c>
      <c r="L89" s="167" t="s">
        <v>248</v>
      </c>
    </row>
    <row r="90" spans="1:12" s="66" customFormat="1">
      <c r="A90" s="132"/>
      <c r="B90" s="133"/>
      <c r="C90" s="156" t="s">
        <v>214</v>
      </c>
      <c r="D90" s="157"/>
      <c r="E90" s="157"/>
      <c r="F90" s="158"/>
      <c r="G90" s="207">
        <v>38100</v>
      </c>
      <c r="H90" s="208" t="s">
        <v>238</v>
      </c>
      <c r="I90" s="204">
        <v>38100</v>
      </c>
      <c r="J90" s="209" t="s">
        <v>238</v>
      </c>
      <c r="K90" s="204">
        <v>38100</v>
      </c>
      <c r="L90" s="167" t="s">
        <v>238</v>
      </c>
    </row>
    <row r="91" spans="1:12" s="66" customFormat="1">
      <c r="A91" s="132"/>
      <c r="B91" s="133"/>
      <c r="C91" s="156" t="s">
        <v>215</v>
      </c>
      <c r="D91" s="157">
        <v>0</v>
      </c>
      <c r="E91" s="157">
        <f>'Prog Dev'!B11</f>
        <v>3000</v>
      </c>
      <c r="F91" s="160" t="s">
        <v>94</v>
      </c>
      <c r="G91" s="207"/>
      <c r="H91" s="205"/>
      <c r="I91" s="204"/>
      <c r="J91" s="206"/>
      <c r="K91" s="204"/>
      <c r="L91" s="166"/>
    </row>
    <row r="92" spans="1:12" s="66" customFormat="1">
      <c r="A92" s="132"/>
      <c r="B92" s="133"/>
      <c r="C92" s="156" t="s">
        <v>216</v>
      </c>
      <c r="D92" s="157">
        <v>0</v>
      </c>
      <c r="E92" s="157">
        <f>'Prog Dev'!B12</f>
        <v>4400</v>
      </c>
      <c r="F92" s="160" t="s">
        <v>94</v>
      </c>
      <c r="G92" s="207"/>
      <c r="H92" s="205"/>
      <c r="I92" s="204"/>
      <c r="J92" s="206"/>
      <c r="K92" s="204"/>
      <c r="L92" s="166"/>
    </row>
    <row r="93" spans="1:12" s="66" customFormat="1">
      <c r="A93" s="132"/>
      <c r="B93" s="133"/>
      <c r="C93" s="156" t="s">
        <v>53</v>
      </c>
      <c r="D93" s="157"/>
      <c r="E93" s="157"/>
      <c r="F93" s="158"/>
      <c r="G93" s="207">
        <v>47400</v>
      </c>
      <c r="H93" s="208" t="s">
        <v>230</v>
      </c>
      <c r="I93" s="204">
        <v>47400</v>
      </c>
      <c r="J93" s="209" t="s">
        <v>230</v>
      </c>
      <c r="K93" s="204">
        <v>47400</v>
      </c>
      <c r="L93" s="167" t="s">
        <v>230</v>
      </c>
    </row>
    <row r="94" spans="1:12" s="66" customFormat="1">
      <c r="A94" s="132"/>
      <c r="B94" s="133"/>
      <c r="C94" s="156" t="s">
        <v>217</v>
      </c>
      <c r="D94" s="157"/>
      <c r="E94" s="157"/>
      <c r="F94" s="158"/>
      <c r="G94" s="207">
        <v>118718</v>
      </c>
      <c r="H94" s="208" t="s">
        <v>239</v>
      </c>
      <c r="I94" s="204">
        <v>118718</v>
      </c>
      <c r="J94" s="209" t="s">
        <v>239</v>
      </c>
      <c r="K94" s="204">
        <v>118718</v>
      </c>
      <c r="L94" s="167" t="s">
        <v>239</v>
      </c>
    </row>
    <row r="95" spans="1:12" s="66" customFormat="1">
      <c r="A95" s="132"/>
      <c r="B95" s="133"/>
      <c r="C95" s="156" t="s">
        <v>218</v>
      </c>
      <c r="D95" s="157"/>
      <c r="E95" s="157"/>
      <c r="F95" s="158"/>
      <c r="G95" s="207">
        <v>45000</v>
      </c>
      <c r="H95" s="208" t="s">
        <v>239</v>
      </c>
      <c r="I95" s="204">
        <v>45000</v>
      </c>
      <c r="J95" s="209" t="s">
        <v>239</v>
      </c>
      <c r="K95" s="204">
        <v>45000</v>
      </c>
      <c r="L95" s="167" t="s">
        <v>239</v>
      </c>
    </row>
    <row r="96" spans="1:12" s="66" customFormat="1">
      <c r="A96" s="132"/>
      <c r="B96" s="133"/>
      <c r="C96" s="133" t="s">
        <v>234</v>
      </c>
      <c r="D96" s="134">
        <f>SUM(D89:D95)</f>
        <v>0</v>
      </c>
      <c r="E96" s="134">
        <f>SUM(E89:E95)</f>
        <v>7400</v>
      </c>
      <c r="F96" s="135"/>
      <c r="G96" s="204">
        <f>SUM(G89:G95)</f>
        <v>254218</v>
      </c>
      <c r="H96" s="205"/>
      <c r="I96" s="204">
        <f>SUM(I89:I95)</f>
        <v>254218</v>
      </c>
      <c r="J96" s="206"/>
      <c r="K96" s="204">
        <f>SUM(K89:K95)</f>
        <v>254218</v>
      </c>
      <c r="L96" s="166"/>
    </row>
    <row r="97" spans="1:12" s="66" customFormat="1">
      <c r="A97" s="132"/>
      <c r="B97" s="133"/>
      <c r="C97" s="153" t="s">
        <v>232</v>
      </c>
      <c r="D97" s="134"/>
      <c r="E97" s="134"/>
      <c r="F97" s="135"/>
      <c r="G97" s="204"/>
      <c r="H97" s="205"/>
      <c r="I97" s="204"/>
      <c r="J97" s="206"/>
      <c r="K97" s="204"/>
      <c r="L97" s="166"/>
    </row>
    <row r="98" spans="1:12" s="66" customFormat="1">
      <c r="A98" s="132"/>
      <c r="B98" s="133"/>
      <c r="C98" s="156" t="s">
        <v>209</v>
      </c>
      <c r="D98" s="157"/>
      <c r="E98" s="157"/>
      <c r="F98" s="158"/>
      <c r="G98" s="207">
        <v>3000</v>
      </c>
      <c r="H98" s="208" t="s">
        <v>230</v>
      </c>
      <c r="I98" s="204">
        <v>3000</v>
      </c>
      <c r="J98" s="209" t="s">
        <v>230</v>
      </c>
      <c r="K98" s="204">
        <v>3000</v>
      </c>
      <c r="L98" s="167" t="s">
        <v>230</v>
      </c>
    </row>
    <row r="99" spans="1:12" s="66" customFormat="1">
      <c r="A99" s="132"/>
      <c r="B99" s="133"/>
      <c r="C99" s="156" t="s">
        <v>220</v>
      </c>
      <c r="D99" s="157"/>
      <c r="E99" s="157">
        <f>'Prog Dev'!B19</f>
        <v>46000</v>
      </c>
      <c r="F99" s="160" t="s">
        <v>230</v>
      </c>
      <c r="G99" s="207"/>
      <c r="H99" s="205"/>
      <c r="I99" s="204">
        <v>0</v>
      </c>
      <c r="J99" s="206"/>
      <c r="K99" s="204">
        <v>0</v>
      </c>
      <c r="L99" s="166"/>
    </row>
    <row r="100" spans="1:12" s="66" customFormat="1">
      <c r="A100" s="132"/>
      <c r="B100" s="133"/>
      <c r="C100" s="156" t="s">
        <v>221</v>
      </c>
      <c r="D100" s="157"/>
      <c r="E100" s="157"/>
      <c r="F100" s="158"/>
      <c r="G100" s="207">
        <v>39400</v>
      </c>
      <c r="H100" s="208" t="s">
        <v>230</v>
      </c>
      <c r="I100" s="204">
        <v>39400</v>
      </c>
      <c r="J100" s="209" t="s">
        <v>230</v>
      </c>
      <c r="K100" s="204">
        <v>39400</v>
      </c>
      <c r="L100" s="167" t="s">
        <v>230</v>
      </c>
    </row>
    <row r="101" spans="1:12" s="66" customFormat="1">
      <c r="A101" s="132"/>
      <c r="B101" s="133"/>
      <c r="C101" s="155" t="s">
        <v>233</v>
      </c>
      <c r="D101" s="134">
        <f>SUM(D98:D100)</f>
        <v>0</v>
      </c>
      <c r="E101" s="134">
        <f>SUM(E98:E100)</f>
        <v>46000</v>
      </c>
      <c r="F101" s="135"/>
      <c r="G101" s="204">
        <f>SUM(G98:G100)</f>
        <v>42400</v>
      </c>
      <c r="H101" s="205"/>
      <c r="I101" s="204">
        <f>SUM(I98:I100)</f>
        <v>42400</v>
      </c>
      <c r="J101" s="206"/>
      <c r="K101" s="204">
        <f>SUM(K98:K100)</f>
        <v>42400</v>
      </c>
      <c r="L101" s="166"/>
    </row>
    <row r="102" spans="1:12" s="66" customFormat="1">
      <c r="A102" s="132"/>
      <c r="B102" s="133"/>
      <c r="C102" s="161" t="s">
        <v>241</v>
      </c>
      <c r="D102" s="134">
        <f>D101+D96+D87</f>
        <v>57275</v>
      </c>
      <c r="E102" s="134">
        <f>E101+E96+E87</f>
        <v>117526</v>
      </c>
      <c r="F102" s="135"/>
      <c r="G102" s="204">
        <f>G101+G96+G87</f>
        <v>306618</v>
      </c>
      <c r="H102" s="205"/>
      <c r="I102" s="204">
        <f>I101+I96+I87</f>
        <v>306618</v>
      </c>
      <c r="J102" s="206"/>
      <c r="K102" s="204">
        <f>K101+K96+K87</f>
        <v>306618</v>
      </c>
      <c r="L102" s="166"/>
    </row>
    <row r="103" spans="1:12">
      <c r="A103" s="118"/>
      <c r="B103" s="119"/>
      <c r="C103" s="136" t="s">
        <v>55</v>
      </c>
      <c r="D103" s="137"/>
      <c r="E103" s="120"/>
      <c r="F103" s="121"/>
      <c r="G103" s="203"/>
      <c r="H103" s="199"/>
      <c r="I103" s="203"/>
      <c r="K103" s="203"/>
    </row>
    <row r="104" spans="1:12">
      <c r="A104" s="118"/>
      <c r="B104" s="119"/>
      <c r="C104" s="128" t="s">
        <v>209</v>
      </c>
      <c r="D104" s="129">
        <v>0</v>
      </c>
      <c r="E104" s="131">
        <v>0</v>
      </c>
      <c r="F104" s="121"/>
      <c r="G104" s="203">
        <v>6000</v>
      </c>
      <c r="H104" s="208" t="s">
        <v>138</v>
      </c>
      <c r="I104" s="203">
        <v>6000</v>
      </c>
      <c r="J104" s="209" t="s">
        <v>138</v>
      </c>
      <c r="K104" s="203">
        <v>6000</v>
      </c>
      <c r="L104" s="167" t="s">
        <v>138</v>
      </c>
    </row>
    <row r="105" spans="1:12">
      <c r="A105" s="118"/>
      <c r="B105" s="119"/>
      <c r="C105" s="128" t="s">
        <v>56</v>
      </c>
      <c r="D105" s="129">
        <v>0</v>
      </c>
      <c r="E105" s="131">
        <v>0</v>
      </c>
      <c r="F105" s="121"/>
      <c r="G105" s="203">
        <v>10000</v>
      </c>
      <c r="H105" s="208" t="s">
        <v>138</v>
      </c>
      <c r="I105" s="203">
        <v>10000</v>
      </c>
      <c r="J105" s="209" t="s">
        <v>138</v>
      </c>
      <c r="K105" s="203">
        <v>10000</v>
      </c>
      <c r="L105" s="167" t="s">
        <v>138</v>
      </c>
    </row>
    <row r="106" spans="1:12">
      <c r="A106" s="118"/>
      <c r="B106" s="119"/>
      <c r="C106" s="128" t="s">
        <v>53</v>
      </c>
      <c r="D106" s="129">
        <v>0</v>
      </c>
      <c r="E106" s="131">
        <v>0</v>
      </c>
      <c r="F106" s="121"/>
      <c r="G106" s="203">
        <v>0</v>
      </c>
      <c r="H106" s="208"/>
      <c r="I106" s="203">
        <v>0</v>
      </c>
      <c r="J106" s="209"/>
      <c r="K106" s="203">
        <v>0</v>
      </c>
      <c r="L106" s="167"/>
    </row>
    <row r="107" spans="1:12">
      <c r="A107" s="118"/>
      <c r="B107" s="119"/>
      <c r="C107" s="128" t="s">
        <v>240</v>
      </c>
      <c r="D107" s="129">
        <v>0</v>
      </c>
      <c r="E107" s="131">
        <v>0</v>
      </c>
      <c r="F107" s="121"/>
      <c r="G107" s="203">
        <v>2000</v>
      </c>
      <c r="H107" s="208" t="s">
        <v>138</v>
      </c>
      <c r="I107" s="203">
        <v>2000</v>
      </c>
      <c r="J107" s="209" t="s">
        <v>138</v>
      </c>
      <c r="K107" s="203">
        <v>2000</v>
      </c>
      <c r="L107" s="167" t="s">
        <v>138</v>
      </c>
    </row>
    <row r="108" spans="1:12" s="66" customFormat="1">
      <c r="A108" s="133"/>
      <c r="B108" s="133"/>
      <c r="C108" s="133" t="s">
        <v>57</v>
      </c>
      <c r="D108" s="134">
        <f>SUM(D104:D107)</f>
        <v>0</v>
      </c>
      <c r="E108" s="134">
        <f>SUM(E104:E107)</f>
        <v>0</v>
      </c>
      <c r="F108" s="135"/>
      <c r="G108" s="204">
        <f t="shared" ref="G108:I108" si="0">SUM(G104:G107)</f>
        <v>18000</v>
      </c>
      <c r="H108" s="210"/>
      <c r="I108" s="204">
        <f t="shared" si="0"/>
        <v>18000</v>
      </c>
      <c r="J108" s="211"/>
      <c r="K108" s="204">
        <f t="shared" ref="K108" si="1">SUM(K104:K107)</f>
        <v>18000</v>
      </c>
      <c r="L108" s="168"/>
    </row>
    <row r="109" spans="1:12">
      <c r="A109" s="118"/>
      <c r="B109" s="119"/>
      <c r="C109" s="136" t="s">
        <v>58</v>
      </c>
      <c r="D109" s="137"/>
      <c r="E109" s="120"/>
      <c r="F109" s="121"/>
      <c r="G109" s="203"/>
      <c r="H109" s="208"/>
      <c r="I109" s="203"/>
      <c r="J109" s="209"/>
      <c r="K109" s="203"/>
      <c r="L109" s="167"/>
    </row>
    <row r="110" spans="1:12">
      <c r="A110" s="118"/>
      <c r="B110" s="119"/>
      <c r="C110" s="128" t="s">
        <v>52</v>
      </c>
      <c r="D110" s="129">
        <v>0</v>
      </c>
      <c r="E110" s="131">
        <v>0</v>
      </c>
      <c r="F110" s="121"/>
      <c r="G110" s="203">
        <v>2000</v>
      </c>
      <c r="H110" s="208" t="s">
        <v>138</v>
      </c>
      <c r="I110" s="203">
        <v>2000</v>
      </c>
      <c r="J110" s="209" t="s">
        <v>138</v>
      </c>
      <c r="K110" s="203">
        <v>2000</v>
      </c>
      <c r="L110" s="167" t="s">
        <v>138</v>
      </c>
    </row>
    <row r="111" spans="1:12">
      <c r="A111" s="118"/>
      <c r="B111" s="119"/>
      <c r="C111" s="128" t="s">
        <v>56</v>
      </c>
      <c r="D111" s="129">
        <v>0</v>
      </c>
      <c r="E111" s="131">
        <v>0</v>
      </c>
      <c r="F111" s="121"/>
      <c r="G111" s="203">
        <v>6000</v>
      </c>
      <c r="H111" s="208" t="s">
        <v>138</v>
      </c>
      <c r="I111" s="203">
        <v>6000</v>
      </c>
      <c r="J111" s="209" t="s">
        <v>138</v>
      </c>
      <c r="K111" s="203">
        <v>6000</v>
      </c>
      <c r="L111" s="167" t="s">
        <v>138</v>
      </c>
    </row>
    <row r="112" spans="1:12" s="66" customFormat="1">
      <c r="A112" s="132"/>
      <c r="B112" s="133"/>
      <c r="C112" s="133" t="s">
        <v>59</v>
      </c>
      <c r="D112" s="134">
        <f>D111+D110</f>
        <v>0</v>
      </c>
      <c r="E112" s="134">
        <f>E111+E110</f>
        <v>0</v>
      </c>
      <c r="F112" s="135"/>
      <c r="G112" s="204">
        <f>G111+G110</f>
        <v>8000</v>
      </c>
      <c r="H112" s="208"/>
      <c r="I112" s="204">
        <f>I111+I110</f>
        <v>8000</v>
      </c>
      <c r="J112" s="209"/>
      <c r="K112" s="204">
        <f>K111+K110</f>
        <v>8000</v>
      </c>
      <c r="L112" s="167"/>
    </row>
    <row r="113" spans="1:12">
      <c r="A113" s="118"/>
      <c r="B113" s="119"/>
      <c r="C113" s="136" t="s">
        <v>60</v>
      </c>
      <c r="D113" s="137"/>
      <c r="E113" s="120"/>
      <c r="F113" s="121"/>
      <c r="G113" s="203"/>
      <c r="H113" s="208"/>
      <c r="I113" s="203"/>
      <c r="J113" s="209"/>
      <c r="K113" s="203"/>
      <c r="L113" s="167"/>
    </row>
    <row r="114" spans="1:12">
      <c r="A114" s="118"/>
      <c r="B114" s="119"/>
      <c r="C114" s="128" t="s">
        <v>209</v>
      </c>
      <c r="D114" s="129">
        <v>0</v>
      </c>
      <c r="E114" s="131">
        <v>0</v>
      </c>
      <c r="F114" s="121"/>
      <c r="G114" s="203">
        <v>1000</v>
      </c>
      <c r="H114" s="208" t="s">
        <v>230</v>
      </c>
      <c r="I114" s="203">
        <v>1000</v>
      </c>
      <c r="J114" s="209" t="s">
        <v>230</v>
      </c>
      <c r="K114" s="203">
        <v>1000</v>
      </c>
      <c r="L114" s="167" t="s">
        <v>230</v>
      </c>
    </row>
    <row r="115" spans="1:12">
      <c r="A115" s="118"/>
      <c r="B115" s="119"/>
      <c r="C115" s="128" t="s">
        <v>236</v>
      </c>
      <c r="D115" s="129">
        <v>0</v>
      </c>
      <c r="E115" s="131">
        <v>0</v>
      </c>
      <c r="F115" s="121"/>
      <c r="G115" s="203">
        <v>25000</v>
      </c>
      <c r="H115" s="208" t="s">
        <v>230</v>
      </c>
      <c r="I115" s="203">
        <v>25000</v>
      </c>
      <c r="J115" s="209" t="s">
        <v>230</v>
      </c>
      <c r="K115" s="203">
        <v>25000</v>
      </c>
      <c r="L115" s="167" t="s">
        <v>230</v>
      </c>
    </row>
    <row r="116" spans="1:12">
      <c r="A116" s="118"/>
      <c r="B116" s="119"/>
      <c r="C116" s="128" t="s">
        <v>56</v>
      </c>
      <c r="D116" s="129">
        <v>0</v>
      </c>
      <c r="E116" s="131">
        <v>0</v>
      </c>
      <c r="F116" s="121"/>
      <c r="G116" s="203">
        <v>0</v>
      </c>
      <c r="H116" s="208"/>
      <c r="I116" s="203">
        <v>0</v>
      </c>
      <c r="J116" s="209"/>
      <c r="K116" s="203">
        <v>0</v>
      </c>
      <c r="L116" s="167"/>
    </row>
    <row r="117" spans="1:12" s="66" customFormat="1">
      <c r="A117" s="132"/>
      <c r="B117" s="133"/>
      <c r="C117" s="133" t="s">
        <v>61</v>
      </c>
      <c r="D117" s="134">
        <f>SUM(D114:D116)</f>
        <v>0</v>
      </c>
      <c r="E117" s="159">
        <f>SUM(E114:E116)</f>
        <v>0</v>
      </c>
      <c r="F117" s="135"/>
      <c r="G117" s="204">
        <f>SUM(G114:G116)</f>
        <v>26000</v>
      </c>
      <c r="H117" s="208"/>
      <c r="I117" s="204">
        <f>SUM(I114:I116)</f>
        <v>26000</v>
      </c>
      <c r="J117" s="209"/>
      <c r="K117" s="204">
        <f>SUM(K114:K116)</f>
        <v>26000</v>
      </c>
      <c r="L117" s="167"/>
    </row>
    <row r="118" spans="1:12">
      <c r="A118" s="118"/>
      <c r="B118" s="119"/>
      <c r="C118" s="136" t="s">
        <v>62</v>
      </c>
      <c r="D118" s="137"/>
      <c r="E118" s="120"/>
      <c r="F118" s="121"/>
      <c r="G118" s="203"/>
      <c r="H118" s="208"/>
      <c r="I118" s="203"/>
      <c r="J118" s="209"/>
      <c r="K118" s="203"/>
      <c r="L118" s="167"/>
    </row>
    <row r="119" spans="1:12">
      <c r="A119" s="118"/>
      <c r="B119" s="119"/>
      <c r="C119" s="128" t="s">
        <v>52</v>
      </c>
      <c r="D119" s="129">
        <v>0</v>
      </c>
      <c r="E119" s="131">
        <v>0</v>
      </c>
      <c r="F119" s="121"/>
      <c r="G119" s="203">
        <v>1000</v>
      </c>
      <c r="H119" s="208" t="s">
        <v>138</v>
      </c>
      <c r="I119" s="203">
        <v>1000</v>
      </c>
      <c r="J119" s="209" t="s">
        <v>138</v>
      </c>
      <c r="K119" s="203">
        <v>1000</v>
      </c>
      <c r="L119" s="167" t="s">
        <v>138</v>
      </c>
    </row>
    <row r="120" spans="1:12">
      <c r="A120" s="118"/>
      <c r="B120" s="119"/>
      <c r="C120" s="128" t="s">
        <v>56</v>
      </c>
      <c r="D120" s="129">
        <v>0</v>
      </c>
      <c r="E120" s="131">
        <v>0</v>
      </c>
      <c r="F120" s="121"/>
      <c r="G120" s="203">
        <v>1000</v>
      </c>
      <c r="H120" s="199" t="s">
        <v>138</v>
      </c>
      <c r="I120" s="203">
        <v>1000</v>
      </c>
      <c r="J120" s="186" t="s">
        <v>138</v>
      </c>
      <c r="K120" s="203">
        <v>1000</v>
      </c>
      <c r="L120" s="164" t="s">
        <v>138</v>
      </c>
    </row>
    <row r="121" spans="1:12" s="66" customFormat="1" ht="16" thickBot="1">
      <c r="A121" s="132"/>
      <c r="B121" s="133"/>
      <c r="C121" s="133" t="s">
        <v>63</v>
      </c>
      <c r="D121" s="138">
        <f>D120+D119</f>
        <v>0</v>
      </c>
      <c r="E121" s="138">
        <f>E120+E119</f>
        <v>0</v>
      </c>
      <c r="F121" s="135"/>
      <c r="G121" s="204">
        <f t="shared" ref="G121:I121" si="2">G120+G119</f>
        <v>2000</v>
      </c>
      <c r="H121" s="205"/>
      <c r="I121" s="204">
        <f t="shared" si="2"/>
        <v>2000</v>
      </c>
      <c r="J121" s="206"/>
      <c r="K121" s="204">
        <f t="shared" ref="K121" si="3">K120+K119</f>
        <v>2000</v>
      </c>
      <c r="L121" s="166"/>
    </row>
    <row r="122" spans="1:12">
      <c r="A122" s="118"/>
      <c r="B122" s="119" t="s">
        <v>64</v>
      </c>
      <c r="C122" s="128"/>
      <c r="D122" s="139">
        <f>D121+D117+D112+D108+D102</f>
        <v>57275</v>
      </c>
      <c r="E122" s="139">
        <f>E121+E117+E112+E108+E102</f>
        <v>117526</v>
      </c>
      <c r="F122" s="121"/>
      <c r="G122" s="212">
        <f>G121+G117+G112+G108+G102</f>
        <v>360618</v>
      </c>
      <c r="H122" s="199"/>
      <c r="I122" s="198">
        <f>I121+I117+I112+I108+I102</f>
        <v>360618</v>
      </c>
      <c r="K122" s="198">
        <f>K121+K117+K112+K108+K102</f>
        <v>360618</v>
      </c>
    </row>
    <row r="123" spans="1:12">
      <c r="A123" s="118"/>
      <c r="B123" s="119"/>
      <c r="C123" s="128"/>
      <c r="D123" s="139"/>
      <c r="E123" s="139"/>
      <c r="F123" s="121"/>
      <c r="G123" s="51"/>
      <c r="I123" s="51"/>
      <c r="K123" s="51"/>
    </row>
    <row r="124" spans="1:12">
      <c r="A124" s="140"/>
      <c r="B124" s="141" t="s">
        <v>172</v>
      </c>
      <c r="C124" s="142"/>
      <c r="D124" s="143"/>
      <c r="E124" s="143"/>
      <c r="F124" s="144"/>
      <c r="G124" s="213"/>
      <c r="H124" s="214"/>
      <c r="I124" s="213"/>
      <c r="K124" s="213"/>
    </row>
    <row r="125" spans="1:12">
      <c r="A125" s="140"/>
      <c r="B125" s="141"/>
      <c r="C125" s="142" t="s">
        <v>173</v>
      </c>
      <c r="D125" s="145">
        <v>0</v>
      </c>
      <c r="E125" s="145">
        <v>0</v>
      </c>
      <c r="F125" s="144"/>
      <c r="G125" s="215">
        <v>2225000</v>
      </c>
      <c r="H125" s="214" t="s">
        <v>230</v>
      </c>
      <c r="I125" s="215">
        <v>2225000</v>
      </c>
      <c r="J125" s="186" t="s">
        <v>230</v>
      </c>
      <c r="K125" s="215">
        <v>2225000</v>
      </c>
      <c r="L125" s="164" t="s">
        <v>230</v>
      </c>
    </row>
    <row r="126" spans="1:12">
      <c r="A126" s="140"/>
      <c r="B126" s="141"/>
      <c r="C126" s="142" t="s">
        <v>174</v>
      </c>
      <c r="D126" s="146">
        <v>0</v>
      </c>
      <c r="E126" s="146">
        <v>0</v>
      </c>
      <c r="F126" s="144"/>
      <c r="G126" s="215">
        <v>100000</v>
      </c>
      <c r="H126" s="214" t="s">
        <v>138</v>
      </c>
      <c r="I126" s="215">
        <v>100000</v>
      </c>
      <c r="J126" s="186" t="s">
        <v>138</v>
      </c>
      <c r="K126" s="215">
        <v>100000</v>
      </c>
      <c r="L126" s="164" t="s">
        <v>138</v>
      </c>
    </row>
    <row r="127" spans="1:12">
      <c r="A127" s="140"/>
      <c r="B127" s="141" t="s">
        <v>175</v>
      </c>
      <c r="C127" s="142"/>
      <c r="D127" s="143">
        <f>D126+D125</f>
        <v>0</v>
      </c>
      <c r="E127" s="143">
        <f>E126+E125</f>
        <v>0</v>
      </c>
      <c r="F127" s="144"/>
      <c r="G127" s="213">
        <f>G126+G125</f>
        <v>2325000</v>
      </c>
      <c r="H127" s="214"/>
      <c r="I127" s="213">
        <f>I126+I125</f>
        <v>2325000</v>
      </c>
      <c r="K127" s="213">
        <f>K126+K125</f>
        <v>2325000</v>
      </c>
    </row>
    <row r="128" spans="1:12">
      <c r="A128" s="13"/>
      <c r="B128" s="22"/>
      <c r="C128" s="24"/>
      <c r="D128" s="52"/>
      <c r="E128" s="51"/>
      <c r="F128" s="23"/>
      <c r="G128" s="52"/>
      <c r="I128" s="52"/>
      <c r="K128" s="52"/>
    </row>
    <row r="129" spans="1:12">
      <c r="A129" s="13"/>
      <c r="B129" s="22" t="s">
        <v>65</v>
      </c>
      <c r="C129" s="24"/>
      <c r="D129" s="52"/>
      <c r="E129" s="51"/>
      <c r="F129" s="23"/>
      <c r="G129" s="51"/>
      <c r="I129" s="51"/>
      <c r="K129" s="51"/>
    </row>
    <row r="130" spans="1:12" s="65" customFormat="1">
      <c r="A130" s="20"/>
      <c r="B130" s="64"/>
      <c r="C130" s="18" t="s">
        <v>66</v>
      </c>
      <c r="D130" s="59"/>
      <c r="E130" s="50"/>
      <c r="F130" s="17"/>
      <c r="G130" s="50"/>
      <c r="H130" s="216"/>
      <c r="I130" s="50"/>
      <c r="J130" s="202"/>
      <c r="K130" s="50"/>
      <c r="L130" s="165"/>
    </row>
    <row r="131" spans="1:12">
      <c r="A131" s="11"/>
      <c r="B131" s="13"/>
      <c r="C131" s="19" t="s">
        <v>67</v>
      </c>
      <c r="D131" s="62">
        <v>0</v>
      </c>
      <c r="E131" s="50">
        <v>0</v>
      </c>
      <c r="F131" s="17"/>
      <c r="G131" s="49">
        <f>'Ops Costs'!G24</f>
        <v>2000</v>
      </c>
      <c r="H131" s="44" t="s">
        <v>178</v>
      </c>
      <c r="I131" s="49">
        <v>0</v>
      </c>
      <c r="J131" s="186" t="s">
        <v>178</v>
      </c>
      <c r="K131" s="49">
        <f>'Ops Costs'!G41</f>
        <v>0</v>
      </c>
      <c r="L131" s="164" t="s">
        <v>261</v>
      </c>
    </row>
    <row r="132" spans="1:12">
      <c r="A132" s="11"/>
      <c r="B132" s="13"/>
      <c r="C132" s="45" t="s">
        <v>242</v>
      </c>
      <c r="D132" s="61">
        <v>0</v>
      </c>
      <c r="E132" s="50">
        <v>0</v>
      </c>
      <c r="F132" s="17"/>
      <c r="G132" s="49">
        <f>'Ops Costs'!G19</f>
        <v>0</v>
      </c>
      <c r="H132" s="44" t="s">
        <v>178</v>
      </c>
      <c r="I132" s="49"/>
      <c r="J132" s="186" t="s">
        <v>178</v>
      </c>
      <c r="K132" s="49">
        <f>'Ops Costs'!G36</f>
        <v>0</v>
      </c>
    </row>
    <row r="133" spans="1:12">
      <c r="A133" s="11"/>
      <c r="B133" s="13"/>
      <c r="C133" s="19" t="s">
        <v>54</v>
      </c>
      <c r="D133" s="62">
        <v>2000</v>
      </c>
      <c r="E133" s="49">
        <v>1030</v>
      </c>
      <c r="F133" s="12" t="s">
        <v>140</v>
      </c>
      <c r="G133" s="49"/>
      <c r="I133" s="49"/>
      <c r="K133" s="49"/>
    </row>
    <row r="134" spans="1:12" s="65" customFormat="1">
      <c r="A134" s="20"/>
      <c r="B134" s="64"/>
      <c r="C134" s="15" t="s">
        <v>108</v>
      </c>
      <c r="D134" s="50">
        <f>SUM(D130:D133)</f>
        <v>2000</v>
      </c>
      <c r="E134" s="50">
        <f>SUM(E130:E133)</f>
        <v>1030</v>
      </c>
      <c r="F134" s="17"/>
      <c r="G134" s="50">
        <f>SUM(G130:G133)</f>
        <v>2000</v>
      </c>
      <c r="H134" s="216"/>
      <c r="I134" s="50">
        <f>SUM(I130:I133)</f>
        <v>0</v>
      </c>
      <c r="J134" s="202"/>
      <c r="K134" s="50">
        <f>SUM(K130:K133)</f>
        <v>0</v>
      </c>
      <c r="L134" s="165"/>
    </row>
    <row r="135" spans="1:12" s="65" customFormat="1">
      <c r="A135" s="20"/>
      <c r="B135" s="64"/>
      <c r="C135" s="14" t="s">
        <v>68</v>
      </c>
      <c r="D135" s="58"/>
      <c r="E135" s="50"/>
      <c r="F135" s="17"/>
      <c r="G135" s="50"/>
      <c r="H135" s="216"/>
      <c r="I135" s="50"/>
      <c r="J135" s="202"/>
      <c r="K135" s="50"/>
      <c r="L135" s="165"/>
    </row>
    <row r="136" spans="1:12">
      <c r="A136" s="11"/>
      <c r="B136" s="13"/>
      <c r="C136" s="11" t="s">
        <v>67</v>
      </c>
      <c r="D136" s="49">
        <v>0</v>
      </c>
      <c r="E136" s="49">
        <v>0</v>
      </c>
      <c r="F136" s="12"/>
      <c r="G136" s="49">
        <f>'Ops Costs'!F24</f>
        <v>200</v>
      </c>
      <c r="H136" s="44" t="s">
        <v>178</v>
      </c>
      <c r="I136" s="49">
        <v>0</v>
      </c>
      <c r="J136" s="186" t="s">
        <v>178</v>
      </c>
      <c r="K136" s="49">
        <f>'Ops Costs'!F41</f>
        <v>100</v>
      </c>
      <c r="L136" s="164" t="s">
        <v>265</v>
      </c>
    </row>
    <row r="137" spans="1:12">
      <c r="A137" s="11"/>
      <c r="B137" s="13"/>
      <c r="C137" s="45" t="s">
        <v>79</v>
      </c>
      <c r="D137" s="61">
        <v>1000</v>
      </c>
      <c r="E137" s="49">
        <v>0</v>
      </c>
      <c r="F137" s="12"/>
      <c r="G137" s="49">
        <f>'Ops Costs'!F19</f>
        <v>1000</v>
      </c>
      <c r="H137" s="44" t="s">
        <v>178</v>
      </c>
      <c r="I137" s="49">
        <f>'Ops Costs'!F53</f>
        <v>100</v>
      </c>
      <c r="J137" s="186" t="s">
        <v>178</v>
      </c>
      <c r="K137" s="49">
        <f>'Ops Costs'!F36</f>
        <v>500</v>
      </c>
      <c r="L137" s="164" t="s">
        <v>178</v>
      </c>
    </row>
    <row r="138" spans="1:12">
      <c r="A138" s="11"/>
      <c r="B138" s="13"/>
      <c r="C138" s="45" t="s">
        <v>147</v>
      </c>
      <c r="D138" s="61">
        <v>200</v>
      </c>
      <c r="E138" s="49">
        <v>0</v>
      </c>
      <c r="F138" s="12"/>
      <c r="G138" s="49">
        <f>'Ops Costs'!F20</f>
        <v>200</v>
      </c>
      <c r="H138" s="44" t="s">
        <v>178</v>
      </c>
      <c r="I138" s="49">
        <f>'Ops Costs'!F54</f>
        <v>200</v>
      </c>
      <c r="J138" s="186" t="s">
        <v>178</v>
      </c>
      <c r="K138" s="49">
        <f>'Ops Costs'!F37</f>
        <v>200</v>
      </c>
      <c r="L138" s="164" t="s">
        <v>178</v>
      </c>
    </row>
    <row r="139" spans="1:12">
      <c r="A139" s="11"/>
      <c r="B139" s="13"/>
      <c r="C139" s="11" t="s">
        <v>69</v>
      </c>
      <c r="D139" s="49">
        <v>5160</v>
      </c>
      <c r="E139" s="49">
        <f>1541*(12/10)</f>
        <v>1849.1999999999998</v>
      </c>
      <c r="F139" s="12" t="s">
        <v>101</v>
      </c>
      <c r="G139" s="49">
        <f>'Ops Costs'!F22</f>
        <v>2000</v>
      </c>
      <c r="H139" s="44" t="s">
        <v>178</v>
      </c>
      <c r="I139" s="217">
        <v>2000</v>
      </c>
      <c r="J139" s="186" t="s">
        <v>178</v>
      </c>
      <c r="K139" s="217">
        <f>'Ops Costs'!F39</f>
        <v>1000</v>
      </c>
      <c r="L139" s="164" t="s">
        <v>266</v>
      </c>
    </row>
    <row r="140" spans="1:12" s="65" customFormat="1">
      <c r="A140" s="20"/>
      <c r="B140" s="64"/>
      <c r="C140" s="15" t="s">
        <v>108</v>
      </c>
      <c r="D140" s="50">
        <f>SUM(D136:D139)</f>
        <v>6360</v>
      </c>
      <c r="E140" s="50">
        <f>SUM(E136:E139)</f>
        <v>1849.1999999999998</v>
      </c>
      <c r="F140" s="17"/>
      <c r="G140" s="50">
        <f>SUM(G136:G139)</f>
        <v>3400</v>
      </c>
      <c r="H140" s="216"/>
      <c r="I140" s="50">
        <f>SUM(I136:I139)</f>
        <v>2300</v>
      </c>
      <c r="J140" s="202"/>
      <c r="K140" s="50">
        <f>SUM(K136:K139)</f>
        <v>1800</v>
      </c>
      <c r="L140" s="165"/>
    </row>
    <row r="141" spans="1:12" s="65" customFormat="1">
      <c r="A141" s="20"/>
      <c r="B141" s="64"/>
      <c r="C141" s="14" t="s">
        <v>70</v>
      </c>
      <c r="D141" s="58"/>
      <c r="E141" s="50"/>
      <c r="F141" s="17"/>
      <c r="G141" s="50"/>
      <c r="H141" s="216"/>
      <c r="I141" s="50"/>
      <c r="J141" s="202"/>
      <c r="K141" s="50"/>
      <c r="L141" s="165"/>
    </row>
    <row r="142" spans="1:12">
      <c r="A142" s="11"/>
      <c r="B142" s="13"/>
      <c r="C142" s="11" t="s">
        <v>67</v>
      </c>
      <c r="D142" s="49">
        <v>0</v>
      </c>
      <c r="E142" s="49">
        <v>0</v>
      </c>
      <c r="F142" s="12"/>
      <c r="G142" s="49">
        <f>'Ops Costs'!D24</f>
        <v>200</v>
      </c>
      <c r="H142" s="44" t="s">
        <v>178</v>
      </c>
      <c r="I142" s="49">
        <f>'Ops Costs'!D58</f>
        <v>0</v>
      </c>
      <c r="J142" s="186" t="s">
        <v>178</v>
      </c>
      <c r="K142" s="61">
        <f>'Ops Costs'!D41</f>
        <v>100</v>
      </c>
      <c r="L142" s="164" t="s">
        <v>178</v>
      </c>
    </row>
    <row r="143" spans="1:12">
      <c r="A143" s="11"/>
      <c r="B143" s="13"/>
      <c r="C143" s="45" t="s">
        <v>79</v>
      </c>
      <c r="D143" s="61">
        <v>1000</v>
      </c>
      <c r="E143" s="49">
        <v>0</v>
      </c>
      <c r="F143" s="12"/>
      <c r="G143" s="49">
        <f>'Ops Costs'!D19</f>
        <v>1000</v>
      </c>
      <c r="H143" s="44" t="s">
        <v>178</v>
      </c>
      <c r="I143" s="49">
        <f>'Ops Costs'!D53</f>
        <v>100</v>
      </c>
      <c r="J143" s="186" t="s">
        <v>178</v>
      </c>
      <c r="K143" s="61">
        <f>'Ops Costs'!D36</f>
        <v>500</v>
      </c>
      <c r="L143" s="164" t="s">
        <v>178</v>
      </c>
    </row>
    <row r="144" spans="1:12">
      <c r="A144" s="11"/>
      <c r="B144" s="13"/>
      <c r="C144" s="45" t="s">
        <v>147</v>
      </c>
      <c r="D144" s="61">
        <v>200</v>
      </c>
      <c r="E144" s="49">
        <v>0</v>
      </c>
      <c r="F144" s="12"/>
      <c r="G144" s="49">
        <f>'Ops Costs'!D20</f>
        <v>200</v>
      </c>
      <c r="H144" s="44" t="s">
        <v>178</v>
      </c>
      <c r="I144" s="49">
        <f>'Ops Costs'!D54</f>
        <v>200</v>
      </c>
      <c r="J144" s="186" t="s">
        <v>178</v>
      </c>
      <c r="K144" s="61">
        <f t="shared" ref="K144" si="4">G144/2</f>
        <v>100</v>
      </c>
      <c r="L144" s="164" t="s">
        <v>178</v>
      </c>
    </row>
    <row r="145" spans="1:12">
      <c r="A145" s="11"/>
      <c r="B145" s="13"/>
      <c r="C145" s="11" t="s">
        <v>71</v>
      </c>
      <c r="D145" s="49">
        <v>300</v>
      </c>
      <c r="E145" s="49">
        <v>300</v>
      </c>
      <c r="F145" s="12" t="s">
        <v>101</v>
      </c>
      <c r="G145" s="49">
        <f>'Ops Costs'!D22</f>
        <v>3000</v>
      </c>
      <c r="H145" s="44" t="s">
        <v>178</v>
      </c>
      <c r="I145" s="218">
        <v>300</v>
      </c>
      <c r="J145" s="186" t="s">
        <v>178</v>
      </c>
      <c r="K145" s="61">
        <f>'Ops Costs'!D39</f>
        <v>1500</v>
      </c>
      <c r="L145" s="164" t="s">
        <v>178</v>
      </c>
    </row>
    <row r="146" spans="1:12" s="65" customFormat="1">
      <c r="A146" s="20"/>
      <c r="B146" s="64"/>
      <c r="C146" s="162" t="s">
        <v>108</v>
      </c>
      <c r="D146" s="53">
        <f>SUM(D142:D145)</f>
        <v>1500</v>
      </c>
      <c r="E146" s="53">
        <f>SUM(E142:E145)</f>
        <v>300</v>
      </c>
      <c r="F146" s="17"/>
      <c r="G146" s="53">
        <f>SUM(G142:G145)</f>
        <v>4400</v>
      </c>
      <c r="H146" s="216"/>
      <c r="I146" s="53">
        <f>SUM(I142:I145)</f>
        <v>600</v>
      </c>
      <c r="J146" s="202"/>
      <c r="K146" s="53">
        <f>SUM(K142:K145)</f>
        <v>2200</v>
      </c>
      <c r="L146" s="165"/>
    </row>
    <row r="147" spans="1:12" s="65" customFormat="1">
      <c r="A147" s="16"/>
      <c r="B147" s="64"/>
      <c r="C147" s="18" t="s">
        <v>72</v>
      </c>
      <c r="D147" s="59"/>
      <c r="E147" s="50"/>
      <c r="F147" s="17"/>
      <c r="G147" s="50"/>
      <c r="H147" s="216"/>
      <c r="I147" s="50"/>
      <c r="J147" s="202"/>
      <c r="K147" s="50"/>
      <c r="L147" s="165"/>
    </row>
    <row r="148" spans="1:12">
      <c r="A148" s="19"/>
      <c r="B148" s="13"/>
      <c r="C148" s="19" t="s">
        <v>67</v>
      </c>
      <c r="D148" s="62">
        <v>0</v>
      </c>
      <c r="E148" s="49">
        <v>0</v>
      </c>
      <c r="F148" s="12"/>
      <c r="G148" s="49">
        <f>'Ops Costs'!H24</f>
        <v>2367</v>
      </c>
      <c r="H148" s="44" t="s">
        <v>178</v>
      </c>
      <c r="I148" s="49">
        <f>'Ops Costs'!H58+'Ops Costs'!H58</f>
        <v>0</v>
      </c>
      <c r="J148" s="186" t="s">
        <v>178</v>
      </c>
      <c r="K148" s="49">
        <f>'Ops Costs'!H41</f>
        <v>1183.5</v>
      </c>
      <c r="L148" s="164" t="s">
        <v>178</v>
      </c>
    </row>
    <row r="149" spans="1:12">
      <c r="A149" s="11"/>
      <c r="B149" s="13"/>
      <c r="C149" s="19" t="s">
        <v>73</v>
      </c>
      <c r="D149" s="62">
        <v>0</v>
      </c>
      <c r="E149" s="49">
        <v>0</v>
      </c>
      <c r="F149" s="12"/>
      <c r="G149" s="49">
        <f>'Ops Costs'!H22</f>
        <v>14170</v>
      </c>
      <c r="H149" s="44" t="s">
        <v>249</v>
      </c>
      <c r="I149" s="49">
        <v>0</v>
      </c>
      <c r="J149" s="186" t="s">
        <v>249</v>
      </c>
      <c r="K149" s="49">
        <f>'Ops Costs'!H39</f>
        <v>7085</v>
      </c>
      <c r="L149" s="164" t="s">
        <v>249</v>
      </c>
    </row>
    <row r="150" spans="1:12">
      <c r="A150" s="11"/>
      <c r="B150" s="13"/>
      <c r="C150" s="37" t="s">
        <v>108</v>
      </c>
      <c r="D150" s="53">
        <f>D149+D148</f>
        <v>0</v>
      </c>
      <c r="E150" s="53">
        <f>E149+E148</f>
        <v>0</v>
      </c>
      <c r="F150" s="12"/>
      <c r="G150" s="49">
        <f>G149+G148</f>
        <v>16537</v>
      </c>
      <c r="I150" s="49">
        <f>I149+I148</f>
        <v>0</v>
      </c>
      <c r="K150" s="49">
        <f>K149+K148</f>
        <v>8268.5</v>
      </c>
    </row>
    <row r="151" spans="1:12" s="65" customFormat="1">
      <c r="A151" s="20"/>
      <c r="B151" s="64"/>
      <c r="C151" s="14" t="s">
        <v>74</v>
      </c>
      <c r="D151" s="58"/>
      <c r="E151" s="50"/>
      <c r="F151" s="17"/>
      <c r="G151" s="50"/>
      <c r="H151" s="216"/>
      <c r="I151" s="50"/>
      <c r="J151" s="202"/>
      <c r="K151" s="50"/>
      <c r="L151" s="165"/>
    </row>
    <row r="152" spans="1:12">
      <c r="A152" s="11"/>
      <c r="B152" s="13"/>
      <c r="C152" s="11" t="s">
        <v>80</v>
      </c>
      <c r="D152" s="49">
        <v>3000</v>
      </c>
      <c r="E152" s="49">
        <v>0</v>
      </c>
      <c r="F152" s="12"/>
      <c r="G152" s="49">
        <f>'Ops Costs'!E24</f>
        <v>12000</v>
      </c>
      <c r="H152" s="44" t="s">
        <v>178</v>
      </c>
      <c r="I152" s="49">
        <f>'Ops Costs'!E58</f>
        <v>0</v>
      </c>
      <c r="J152" s="186" t="s">
        <v>178</v>
      </c>
      <c r="K152" s="49">
        <f>'Ops Costs'!E41</f>
        <v>6000</v>
      </c>
      <c r="L152" s="164" t="s">
        <v>178</v>
      </c>
    </row>
    <row r="153" spans="1:12">
      <c r="A153" s="11"/>
      <c r="B153" s="13"/>
      <c r="C153" s="11" t="s">
        <v>75</v>
      </c>
      <c r="D153" s="49">
        <v>8500</v>
      </c>
      <c r="E153" s="49">
        <f>ROUNDUP(235*1.2,-2)</f>
        <v>300</v>
      </c>
      <c r="F153" s="12" t="s">
        <v>101</v>
      </c>
      <c r="G153" s="49">
        <f>'Ops Costs'!E22</f>
        <v>240000</v>
      </c>
      <c r="H153" s="44" t="s">
        <v>178</v>
      </c>
      <c r="I153" s="49">
        <v>1000</v>
      </c>
      <c r="J153" s="186" t="s">
        <v>178</v>
      </c>
      <c r="K153" s="49">
        <f>'Ops Costs'!E39</f>
        <v>120000</v>
      </c>
      <c r="L153" s="164" t="s">
        <v>178</v>
      </c>
    </row>
    <row r="154" spans="1:12">
      <c r="A154" s="11"/>
      <c r="B154" s="13"/>
      <c r="C154" s="11" t="s">
        <v>76</v>
      </c>
      <c r="D154" s="49">
        <v>1450</v>
      </c>
      <c r="E154" s="49">
        <f>ROUNDUP(458*1.2,-2)</f>
        <v>600</v>
      </c>
      <c r="F154" s="12" t="s">
        <v>101</v>
      </c>
      <c r="G154" s="49">
        <v>0</v>
      </c>
      <c r="H154" s="44" t="s">
        <v>250</v>
      </c>
      <c r="I154" s="49">
        <v>0</v>
      </c>
      <c r="J154" s="186" t="s">
        <v>250</v>
      </c>
      <c r="K154" s="49">
        <v>0</v>
      </c>
      <c r="L154" s="164" t="s">
        <v>250</v>
      </c>
    </row>
    <row r="155" spans="1:12">
      <c r="A155" s="11"/>
      <c r="B155" s="13"/>
      <c r="C155" s="11" t="s">
        <v>77</v>
      </c>
      <c r="D155" s="49">
        <v>650</v>
      </c>
      <c r="E155" s="49">
        <f>ROUNDUP(385*1.2,-2)</f>
        <v>500</v>
      </c>
      <c r="F155" s="12" t="s">
        <v>101</v>
      </c>
      <c r="G155" s="62">
        <v>0</v>
      </c>
      <c r="H155" s="44" t="s">
        <v>251</v>
      </c>
      <c r="I155" s="62">
        <v>0</v>
      </c>
      <c r="J155" s="186" t="s">
        <v>251</v>
      </c>
      <c r="K155" s="62">
        <v>0</v>
      </c>
      <c r="L155" s="164" t="s">
        <v>251</v>
      </c>
    </row>
    <row r="156" spans="1:12">
      <c r="A156" s="11"/>
      <c r="B156" s="13"/>
      <c r="C156" s="11" t="s">
        <v>78</v>
      </c>
      <c r="D156" s="49">
        <v>540</v>
      </c>
      <c r="E156" s="49">
        <f>ROUNDUP(1000*1.2,-2)</f>
        <v>1200</v>
      </c>
      <c r="F156" s="12" t="s">
        <v>101</v>
      </c>
      <c r="G156" s="62">
        <v>0</v>
      </c>
      <c r="H156" s="44" t="s">
        <v>251</v>
      </c>
      <c r="I156" s="62">
        <v>0</v>
      </c>
      <c r="J156" s="186" t="s">
        <v>251</v>
      </c>
      <c r="K156" s="62">
        <v>0</v>
      </c>
      <c r="L156" s="164" t="s">
        <v>251</v>
      </c>
    </row>
    <row r="157" spans="1:12">
      <c r="A157" s="11"/>
      <c r="B157" s="13"/>
      <c r="C157" s="11" t="s">
        <v>79</v>
      </c>
      <c r="D157" s="49">
        <f>'Ops Costs'!E2+Budget!E2</f>
        <v>28000</v>
      </c>
      <c r="E157" s="49">
        <v>0</v>
      </c>
      <c r="F157" s="12"/>
      <c r="G157" s="62">
        <f>'Ops Costs'!E19</f>
        <v>28000</v>
      </c>
      <c r="H157" s="44" t="s">
        <v>178</v>
      </c>
      <c r="I157" s="62">
        <f>'Ops Costs'!E53</f>
        <v>300</v>
      </c>
      <c r="J157" s="186" t="s">
        <v>178</v>
      </c>
      <c r="K157" s="62">
        <f>'Ops Costs'!E36</f>
        <v>14000</v>
      </c>
      <c r="L157" s="164" t="s">
        <v>178</v>
      </c>
    </row>
    <row r="158" spans="1:12">
      <c r="A158" s="11"/>
      <c r="B158" s="13"/>
      <c r="C158" s="11" t="s">
        <v>147</v>
      </c>
      <c r="D158" s="49">
        <f>'Ops Costs'!E3</f>
        <v>600</v>
      </c>
      <c r="E158" s="49">
        <v>0</v>
      </c>
      <c r="F158" s="12"/>
      <c r="G158" s="62">
        <f>'Ops Costs'!E20</f>
        <v>600</v>
      </c>
      <c r="H158" s="44" t="s">
        <v>178</v>
      </c>
      <c r="I158" s="62">
        <f>'Ops Costs'!E54</f>
        <v>600</v>
      </c>
      <c r="J158" s="186" t="s">
        <v>178</v>
      </c>
      <c r="K158" s="62">
        <f>'Ops Costs'!E37</f>
        <v>600</v>
      </c>
      <c r="L158" s="164" t="s">
        <v>178</v>
      </c>
    </row>
    <row r="159" spans="1:12">
      <c r="A159" s="11"/>
      <c r="B159" s="13"/>
      <c r="C159" s="11" t="s">
        <v>81</v>
      </c>
      <c r="D159" s="49">
        <v>0</v>
      </c>
      <c r="E159" s="49">
        <v>0</v>
      </c>
      <c r="F159" s="12"/>
      <c r="G159" s="62">
        <f>-G75</f>
        <v>27264.75</v>
      </c>
      <c r="H159" s="44" t="s">
        <v>252</v>
      </c>
      <c r="I159" s="62">
        <v>0</v>
      </c>
      <c r="J159" s="186" t="s">
        <v>257</v>
      </c>
      <c r="K159" s="62">
        <f>-K75</f>
        <v>13632.375</v>
      </c>
      <c r="L159" s="164" t="s">
        <v>264</v>
      </c>
    </row>
    <row r="160" spans="1:12">
      <c r="A160" s="11"/>
      <c r="B160" s="13"/>
      <c r="C160" s="11" t="s">
        <v>82</v>
      </c>
      <c r="D160" s="49">
        <f>'Ops Costs'!E8</f>
        <v>25200</v>
      </c>
      <c r="E160" s="49">
        <v>0</v>
      </c>
      <c r="F160" s="12"/>
      <c r="G160" s="49">
        <f>'Ops Costs'!E23</f>
        <v>3000</v>
      </c>
      <c r="H160" s="44" t="s">
        <v>178</v>
      </c>
      <c r="I160" s="49">
        <f>'Ops Costs'!E57</f>
        <v>500</v>
      </c>
      <c r="J160" s="186" t="s">
        <v>178</v>
      </c>
      <c r="K160" s="49">
        <f>'Ops Costs'!E40</f>
        <v>3000</v>
      </c>
      <c r="L160" s="164" t="s">
        <v>178</v>
      </c>
    </row>
    <row r="161" spans="1:12">
      <c r="A161" s="11"/>
      <c r="B161" s="13"/>
      <c r="C161" s="15" t="s">
        <v>108</v>
      </c>
      <c r="D161" s="60">
        <f>SUM(D152:D160)</f>
        <v>67940</v>
      </c>
      <c r="E161" s="50">
        <f>SUM(E152:E160)</f>
        <v>2600</v>
      </c>
      <c r="F161" s="17"/>
      <c r="G161" s="50">
        <f>SUM(G152:G160)</f>
        <v>310864.75</v>
      </c>
      <c r="H161" s="44" t="s">
        <v>245</v>
      </c>
      <c r="I161" s="50">
        <f>SUM(I153:I160)</f>
        <v>2400</v>
      </c>
      <c r="K161" s="50">
        <f>SUM(K153:K160)</f>
        <v>151232.375</v>
      </c>
    </row>
    <row r="162" spans="1:12">
      <c r="A162" s="11"/>
      <c r="B162" s="25" t="s">
        <v>83</v>
      </c>
      <c r="C162" s="26"/>
      <c r="D162" s="50">
        <f>D161+D150+D146+D140+D134</f>
        <v>77800</v>
      </c>
      <c r="E162" s="50">
        <f>E161+E150+E146+E140+E134</f>
        <v>5779.2</v>
      </c>
      <c r="F162" s="17"/>
      <c r="G162" s="50">
        <f>G161+G150+G146+G140+G134</f>
        <v>337201.75</v>
      </c>
      <c r="I162" s="50">
        <f>I161+I145+I139+I131</f>
        <v>4700</v>
      </c>
      <c r="K162" s="50">
        <f>K161+K145+K139+K131</f>
        <v>153732.375</v>
      </c>
    </row>
    <row r="163" spans="1:12">
      <c r="A163" s="11"/>
      <c r="B163" s="15"/>
      <c r="C163" s="15"/>
      <c r="D163" s="60"/>
      <c r="E163" s="50"/>
      <c r="F163" s="17"/>
      <c r="G163" s="50"/>
      <c r="I163" s="50"/>
      <c r="K163" s="50"/>
    </row>
    <row r="164" spans="1:12">
      <c r="A164" s="11"/>
      <c r="B164" s="10" t="s">
        <v>84</v>
      </c>
      <c r="C164" s="10"/>
      <c r="D164" s="54">
        <f>D162+D122+D76+D127</f>
        <v>257859</v>
      </c>
      <c r="E164" s="54">
        <f>E162+E122+E76+E127</f>
        <v>240333.2</v>
      </c>
      <c r="F164" s="27"/>
      <c r="G164" s="54">
        <f>G162+G122+G73</f>
        <v>806878.75</v>
      </c>
      <c r="I164" s="54">
        <f>I162+I122+I76</f>
        <v>472377</v>
      </c>
      <c r="K164" s="54">
        <f>K162+K122+K76</f>
        <v>596144.625</v>
      </c>
    </row>
    <row r="165" spans="1:12">
      <c r="F165" s="28"/>
      <c r="H165" s="44" t="s">
        <v>244</v>
      </c>
      <c r="J165" s="186" t="s">
        <v>244</v>
      </c>
      <c r="L165" s="164" t="s">
        <v>244</v>
      </c>
    </row>
    <row r="166" spans="1:12">
      <c r="A166" s="29" t="s">
        <v>85</v>
      </c>
      <c r="B166" s="29"/>
      <c r="C166" s="29"/>
      <c r="D166" s="55">
        <f>D15-D164</f>
        <v>-11859</v>
      </c>
      <c r="E166" s="55">
        <f>E15-E164</f>
        <v>14815.359999999986</v>
      </c>
      <c r="F166" s="30"/>
      <c r="G166" s="55">
        <f>G15-G164</f>
        <v>-135878.75</v>
      </c>
      <c r="H166" s="191"/>
      <c r="I166" s="55">
        <f>I15-I164</f>
        <v>-220877</v>
      </c>
      <c r="K166" s="55">
        <f>K15-K164</f>
        <v>-184894.625</v>
      </c>
    </row>
    <row r="167" spans="1:12">
      <c r="A167" s="31" t="s">
        <v>86</v>
      </c>
      <c r="B167" s="32"/>
      <c r="C167" s="32"/>
      <c r="D167" s="63">
        <v>369000</v>
      </c>
      <c r="E167" s="56">
        <f>D167+E166</f>
        <v>383815.36</v>
      </c>
      <c r="F167" s="33"/>
      <c r="G167" s="56">
        <f>E168</f>
        <v>398630.72</v>
      </c>
      <c r="I167" s="56">
        <f>E168</f>
        <v>398630.72</v>
      </c>
      <c r="K167" s="56">
        <f>E168</f>
        <v>398630.72</v>
      </c>
    </row>
    <row r="168" spans="1:12">
      <c r="A168" s="34" t="s">
        <v>87</v>
      </c>
      <c r="B168" s="35"/>
      <c r="C168" s="35"/>
      <c r="D168" s="57">
        <f>D167+D166</f>
        <v>357141</v>
      </c>
      <c r="E168" s="57">
        <f>E167+E166</f>
        <v>398630.72</v>
      </c>
      <c r="F168" s="36"/>
      <c r="G168" s="57">
        <f>G167+G166</f>
        <v>262751.96999999997</v>
      </c>
      <c r="I168" s="57">
        <f>I167+I166</f>
        <v>177753.71999999997</v>
      </c>
      <c r="K168" s="57">
        <f>K167+K166</f>
        <v>213736.09499999997</v>
      </c>
    </row>
  </sheetData>
  <phoneticPr fontId="13" type="noConversion"/>
  <printOptions horizontalCentered="1"/>
  <pageMargins left="0" right="0" top="1" bottom="1" header="0.5" footer="0.5"/>
  <pageSetup scale="79" fitToHeight="7" orientation="portrait" horizontalDpi="4294967292" verticalDpi="4294967292"/>
  <headerFooter>
    <oddHeader>&amp;L&amp;"Calibri,Regular"&amp;20&amp;U&amp;K000000&amp;F&amp;C&amp;"Calibri,Regular"&amp;K000000Draft NSJWCD Budget_x000D_201-2016_x000D_</oddHeader>
    <oddFooter>&amp;L&amp;"Calibri,Regular"&amp;K000000&amp;D&amp;T_x000D_&amp;Z&amp;F</oddFooter>
  </headerFooter>
  <extLst>
    <ext xmlns:mx="http://schemas.microsoft.com/office/mac/excel/2008/main" uri="{64002731-A6B0-56B0-2670-7721B7C09600}">
      <mx:PLV Mode="0" OnePage="0" WScale="10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"/>
  <sheetViews>
    <sheetView view="pageLayout" zoomScale="200" zoomScaleNormal="200" zoomScalePageLayoutView="200" workbookViewId="0">
      <selection activeCell="D8" sqref="D8"/>
    </sheetView>
  </sheetViews>
  <sheetFormatPr baseColWidth="10" defaultRowHeight="15" x14ac:dyDescent="0"/>
  <cols>
    <col min="1" max="1" width="26.6640625" customWidth="1"/>
    <col min="2" max="2" width="12.33203125" bestFit="1" customWidth="1"/>
    <col min="3" max="3" width="8.83203125" style="44" customWidth="1"/>
    <col min="4" max="4" width="6.5" customWidth="1"/>
    <col min="5" max="5" width="11.33203125" bestFit="1" customWidth="1"/>
  </cols>
  <sheetData>
    <row r="1" spans="1:7" s="39" customFormat="1" ht="40">
      <c r="A1" s="40" t="s">
        <v>116</v>
      </c>
      <c r="B1" s="39" t="s">
        <v>117</v>
      </c>
      <c r="C1" s="43" t="s">
        <v>118</v>
      </c>
      <c r="D1" s="39" t="s">
        <v>115</v>
      </c>
      <c r="E1" s="39" t="s">
        <v>119</v>
      </c>
      <c r="F1" s="39" t="s">
        <v>120</v>
      </c>
    </row>
    <row r="2" spans="1:7">
      <c r="A2" t="s">
        <v>114</v>
      </c>
      <c r="B2" s="41">
        <v>4347</v>
      </c>
      <c r="C2" s="44">
        <f>ROUNDUP(B2*B11,-2)</f>
        <v>5300</v>
      </c>
      <c r="D2">
        <v>100</v>
      </c>
      <c r="E2" s="38">
        <f>C2*D2/100</f>
        <v>5300</v>
      </c>
      <c r="F2" s="38">
        <f>C2-E2</f>
        <v>0</v>
      </c>
      <c r="G2" t="s">
        <v>125</v>
      </c>
    </row>
    <row r="3" spans="1:7">
      <c r="A3" t="s">
        <v>121</v>
      </c>
      <c r="B3" s="41">
        <v>11532</v>
      </c>
      <c r="C3" s="44">
        <f>ROUNDUP(B3*B11,-2)</f>
        <v>13900</v>
      </c>
      <c r="D3">
        <v>100</v>
      </c>
      <c r="E3" s="38">
        <f t="shared" ref="E3:E9" si="0">C3*D3/100</f>
        <v>13900</v>
      </c>
      <c r="F3" s="38">
        <f t="shared" ref="F3:F9" si="1">C3-E3</f>
        <v>0</v>
      </c>
      <c r="G3" t="s">
        <v>101</v>
      </c>
    </row>
    <row r="4" spans="1:7">
      <c r="A4" t="s">
        <v>122</v>
      </c>
      <c r="B4" s="41">
        <v>5688</v>
      </c>
      <c r="C4" s="44">
        <v>5690</v>
      </c>
      <c r="D4">
        <v>100</v>
      </c>
      <c r="E4" s="38">
        <f t="shared" si="0"/>
        <v>5690</v>
      </c>
      <c r="F4" s="38">
        <f t="shared" si="1"/>
        <v>0</v>
      </c>
      <c r="G4" t="s">
        <v>91</v>
      </c>
    </row>
    <row r="5" spans="1:7">
      <c r="A5" t="s">
        <v>109</v>
      </c>
      <c r="B5" s="41">
        <v>15963</v>
      </c>
      <c r="C5" s="44">
        <v>15970</v>
      </c>
      <c r="D5">
        <v>100</v>
      </c>
      <c r="E5" s="38">
        <f t="shared" si="0"/>
        <v>15970</v>
      </c>
      <c r="F5" s="38">
        <f t="shared" si="1"/>
        <v>0</v>
      </c>
      <c r="G5" t="s">
        <v>94</v>
      </c>
    </row>
    <row r="6" spans="1:7">
      <c r="A6" t="s">
        <v>110</v>
      </c>
      <c r="B6" s="41">
        <v>13631</v>
      </c>
      <c r="C6" s="44">
        <v>13640</v>
      </c>
      <c r="D6">
        <v>100</v>
      </c>
      <c r="E6" s="38">
        <f t="shared" si="0"/>
        <v>13640</v>
      </c>
      <c r="F6" s="38">
        <f t="shared" si="1"/>
        <v>0</v>
      </c>
      <c r="G6" t="s">
        <v>94</v>
      </c>
    </row>
    <row r="7" spans="1:7">
      <c r="A7" t="s">
        <v>111</v>
      </c>
      <c r="B7" s="41">
        <v>8737</v>
      </c>
      <c r="C7" s="44">
        <v>8740</v>
      </c>
      <c r="D7">
        <v>100</v>
      </c>
      <c r="E7" s="38">
        <f t="shared" si="0"/>
        <v>8740</v>
      </c>
      <c r="F7" s="38">
        <f t="shared" si="1"/>
        <v>0</v>
      </c>
      <c r="G7" t="s">
        <v>94</v>
      </c>
    </row>
    <row r="8" spans="1:7">
      <c r="A8" t="s">
        <v>123</v>
      </c>
      <c r="B8" s="41">
        <v>943</v>
      </c>
      <c r="C8" s="44">
        <v>950</v>
      </c>
      <c r="D8">
        <v>100</v>
      </c>
      <c r="E8" s="38">
        <f t="shared" si="0"/>
        <v>950</v>
      </c>
      <c r="F8" s="38">
        <f t="shared" si="1"/>
        <v>0</v>
      </c>
      <c r="G8" t="s">
        <v>94</v>
      </c>
    </row>
    <row r="9" spans="1:7">
      <c r="A9" t="s">
        <v>112</v>
      </c>
      <c r="B9" s="41">
        <v>3350</v>
      </c>
      <c r="C9" s="44">
        <v>3350</v>
      </c>
      <c r="D9">
        <v>0</v>
      </c>
      <c r="E9" s="38">
        <f t="shared" si="0"/>
        <v>0</v>
      </c>
      <c r="F9" s="38">
        <f t="shared" si="1"/>
        <v>3350</v>
      </c>
      <c r="G9" t="s">
        <v>94</v>
      </c>
    </row>
    <row r="11" spans="1:7">
      <c r="A11" t="s">
        <v>124</v>
      </c>
      <c r="B11" s="42">
        <f>12/10</f>
        <v>1.2</v>
      </c>
    </row>
  </sheetData>
  <phoneticPr fontId="13" type="noConversion"/>
  <pageMargins left="0.75" right="0.75" top="1" bottom="1" header="0.5" footer="0.5"/>
  <pageSetup orientation="landscape" horizontalDpi="4294967292" verticalDpi="4294967292"/>
  <extLst>
    <ext xmlns:mx="http://schemas.microsoft.com/office/mac/excel/2008/main" uri="{64002731-A6B0-56B0-2670-7721B7C09600}">
      <mx:PLV Mode="1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H66"/>
  <sheetViews>
    <sheetView topLeftCell="A18" zoomScale="200" zoomScaleNormal="200" zoomScalePageLayoutView="200" workbookViewId="0">
      <selection activeCell="H47" sqref="H47"/>
    </sheetView>
  </sheetViews>
  <sheetFormatPr baseColWidth="10" defaultRowHeight="15" x14ac:dyDescent="0"/>
  <cols>
    <col min="1" max="1" width="37" customWidth="1"/>
    <col min="2" max="2" width="16.5" customWidth="1"/>
    <col min="3" max="3" width="12.1640625" customWidth="1"/>
  </cols>
  <sheetData>
    <row r="1" spans="1:8" s="70" customFormat="1" ht="18">
      <c r="A1" s="71" t="s">
        <v>145</v>
      </c>
      <c r="B1" s="71" t="s">
        <v>141</v>
      </c>
      <c r="C1" s="70" t="s">
        <v>154</v>
      </c>
      <c r="D1" s="70" t="s">
        <v>156</v>
      </c>
      <c r="E1" s="70" t="s">
        <v>157</v>
      </c>
      <c r="F1" s="70" t="s">
        <v>158</v>
      </c>
      <c r="G1" s="70" t="s">
        <v>159</v>
      </c>
      <c r="H1" s="70" t="s">
        <v>11</v>
      </c>
    </row>
    <row r="2" spans="1:8">
      <c r="A2" t="s">
        <v>146</v>
      </c>
      <c r="B2" s="44">
        <v>30000</v>
      </c>
      <c r="C2" s="44"/>
      <c r="D2" s="44">
        <v>1000</v>
      </c>
      <c r="E2" s="44">
        <v>28000</v>
      </c>
      <c r="F2" s="44">
        <v>1000</v>
      </c>
      <c r="G2" s="44">
        <v>0</v>
      </c>
      <c r="H2" s="44">
        <v>0</v>
      </c>
    </row>
    <row r="3" spans="1:8">
      <c r="A3" t="s">
        <v>147</v>
      </c>
      <c r="B3" s="44">
        <v>1000</v>
      </c>
      <c r="C3" s="44"/>
      <c r="D3" s="44">
        <v>200</v>
      </c>
      <c r="E3" s="44">
        <v>600</v>
      </c>
      <c r="F3" s="44">
        <v>200</v>
      </c>
      <c r="G3" s="44">
        <v>0</v>
      </c>
      <c r="H3" s="44">
        <v>0</v>
      </c>
    </row>
    <row r="4" spans="1:8">
      <c r="A4" t="s">
        <v>148</v>
      </c>
      <c r="B4" s="44">
        <v>800</v>
      </c>
      <c r="C4" s="44" t="s">
        <v>155</v>
      </c>
      <c r="D4" s="67"/>
      <c r="E4" s="67"/>
      <c r="F4" s="68"/>
      <c r="G4" s="68"/>
      <c r="H4" s="68"/>
    </row>
    <row r="5" spans="1:8">
      <c r="A5" t="s">
        <v>149</v>
      </c>
      <c r="B5" s="44">
        <v>1210</v>
      </c>
      <c r="C5" s="44" t="s">
        <v>155</v>
      </c>
      <c r="D5" s="67"/>
      <c r="E5" s="67"/>
      <c r="F5" s="68"/>
      <c r="G5" s="68"/>
      <c r="H5" s="68"/>
    </row>
    <row r="6" spans="1:8">
      <c r="A6" t="s">
        <v>150</v>
      </c>
      <c r="B6" s="44">
        <v>600</v>
      </c>
      <c r="C6" s="44" t="s">
        <v>155</v>
      </c>
      <c r="D6" s="67"/>
      <c r="E6" s="67"/>
      <c r="F6" s="68"/>
      <c r="G6" s="68"/>
      <c r="H6" s="68"/>
    </row>
    <row r="7" spans="1:8">
      <c r="A7" t="s">
        <v>151</v>
      </c>
      <c r="B7" s="44">
        <v>0</v>
      </c>
      <c r="C7" s="44" t="s">
        <v>155</v>
      </c>
      <c r="D7" s="67"/>
      <c r="E7" s="67"/>
      <c r="F7" s="68"/>
      <c r="G7" s="68"/>
      <c r="H7" s="68"/>
    </row>
    <row r="8" spans="1:8">
      <c r="A8" t="s">
        <v>152</v>
      </c>
      <c r="B8" s="44"/>
      <c r="C8" s="44"/>
      <c r="D8" s="44">
        <v>100</v>
      </c>
      <c r="E8" s="44">
        <v>25200</v>
      </c>
      <c r="F8">
        <v>100</v>
      </c>
      <c r="G8" s="44">
        <v>0</v>
      </c>
      <c r="H8" s="44">
        <v>0</v>
      </c>
    </row>
    <row r="9" spans="1:8">
      <c r="A9" t="s">
        <v>153</v>
      </c>
      <c r="B9" s="44"/>
      <c r="C9" s="44"/>
      <c r="D9" s="44">
        <v>0</v>
      </c>
      <c r="E9" s="44">
        <v>0</v>
      </c>
      <c r="F9">
        <v>0</v>
      </c>
      <c r="G9" s="44">
        <v>0</v>
      </c>
      <c r="H9" s="44">
        <v>0</v>
      </c>
    </row>
    <row r="11" spans="1:8" ht="18">
      <c r="A11" s="72" t="s">
        <v>145</v>
      </c>
      <c r="B11" s="72" t="s">
        <v>160</v>
      </c>
      <c r="C11" t="s">
        <v>154</v>
      </c>
      <c r="D11" t="s">
        <v>156</v>
      </c>
      <c r="E11" t="s">
        <v>157</v>
      </c>
      <c r="F11" t="s">
        <v>158</v>
      </c>
      <c r="G11" t="s">
        <v>159</v>
      </c>
      <c r="H11" t="s">
        <v>11</v>
      </c>
    </row>
    <row r="12" spans="1:8">
      <c r="A12" t="s">
        <v>146</v>
      </c>
      <c r="B12" s="44">
        <v>30000</v>
      </c>
      <c r="C12" s="44"/>
      <c r="D12" s="44">
        <v>0</v>
      </c>
      <c r="E12" s="44">
        <v>0</v>
      </c>
      <c r="F12" s="44">
        <v>0</v>
      </c>
      <c r="G12" s="44">
        <v>0</v>
      </c>
      <c r="H12" s="44">
        <v>0</v>
      </c>
    </row>
    <row r="13" spans="1:8">
      <c r="A13" t="s">
        <v>147</v>
      </c>
      <c r="B13" s="44">
        <v>1000</v>
      </c>
      <c r="C13" s="44"/>
      <c r="D13" s="44"/>
      <c r="E13" s="44">
        <v>0</v>
      </c>
      <c r="F13">
        <v>0</v>
      </c>
      <c r="G13" s="44">
        <v>0</v>
      </c>
      <c r="H13" s="44">
        <v>0</v>
      </c>
    </row>
    <row r="14" spans="1:8">
      <c r="A14" t="s">
        <v>152</v>
      </c>
      <c r="B14" s="44"/>
      <c r="C14" s="44"/>
      <c r="D14" s="44">
        <v>0</v>
      </c>
      <c r="E14" s="44">
        <v>0</v>
      </c>
      <c r="F14">
        <v>0</v>
      </c>
      <c r="G14" s="44">
        <v>0</v>
      </c>
      <c r="H14" s="44">
        <v>0</v>
      </c>
    </row>
    <row r="15" spans="1:8">
      <c r="A15" t="s">
        <v>153</v>
      </c>
      <c r="B15" s="44"/>
      <c r="C15" s="44"/>
      <c r="D15" s="44">
        <v>0</v>
      </c>
      <c r="E15" s="44">
        <v>0</v>
      </c>
      <c r="F15">
        <v>0</v>
      </c>
      <c r="G15" s="44">
        <v>0</v>
      </c>
      <c r="H15" s="44">
        <v>0</v>
      </c>
    </row>
    <row r="17" spans="1:8" ht="23">
      <c r="A17" s="81" t="s">
        <v>262</v>
      </c>
    </row>
    <row r="18" spans="1:8" ht="18">
      <c r="A18" s="72" t="s">
        <v>145</v>
      </c>
      <c r="B18" s="72" t="s">
        <v>161</v>
      </c>
      <c r="C18" t="s">
        <v>154</v>
      </c>
      <c r="D18" t="s">
        <v>156</v>
      </c>
      <c r="E18" t="s">
        <v>157</v>
      </c>
      <c r="F18" t="s">
        <v>158</v>
      </c>
      <c r="G18" t="s">
        <v>159</v>
      </c>
      <c r="H18" t="s">
        <v>11</v>
      </c>
    </row>
    <row r="19" spans="1:8">
      <c r="A19" t="s">
        <v>146</v>
      </c>
      <c r="B19" s="44">
        <v>30000</v>
      </c>
      <c r="C19" s="44"/>
      <c r="D19" s="44">
        <v>1000</v>
      </c>
      <c r="E19" s="44">
        <v>28000</v>
      </c>
      <c r="F19" s="44">
        <v>1000</v>
      </c>
      <c r="G19" s="44">
        <v>0</v>
      </c>
      <c r="H19" s="44">
        <v>0</v>
      </c>
    </row>
    <row r="20" spans="1:8">
      <c r="A20" t="s">
        <v>147</v>
      </c>
      <c r="B20" s="44">
        <v>1000</v>
      </c>
      <c r="C20" s="44"/>
      <c r="D20" s="44">
        <v>200</v>
      </c>
      <c r="E20" s="44">
        <v>600</v>
      </c>
      <c r="F20">
        <v>200</v>
      </c>
      <c r="G20" s="44">
        <v>0</v>
      </c>
      <c r="H20" s="44">
        <v>0</v>
      </c>
    </row>
    <row r="21" spans="1:8" s="73" customFormat="1" ht="14">
      <c r="A21" s="73" t="s">
        <v>167</v>
      </c>
      <c r="B21" s="74"/>
      <c r="C21" s="74"/>
      <c r="D21" s="74">
        <v>30</v>
      </c>
      <c r="E21" s="74">
        <v>40</v>
      </c>
      <c r="F21" s="73">
        <v>20</v>
      </c>
      <c r="G21" s="74">
        <v>0</v>
      </c>
      <c r="H21" s="74">
        <v>4</v>
      </c>
    </row>
    <row r="22" spans="1:8">
      <c r="A22" t="s">
        <v>168</v>
      </c>
      <c r="B22" s="44"/>
      <c r="C22" s="44"/>
      <c r="D22" s="44">
        <f>D26*D21</f>
        <v>3000</v>
      </c>
      <c r="E22" s="44">
        <f t="shared" ref="E22:G22" si="0">E26*E21</f>
        <v>240000</v>
      </c>
      <c r="F22" s="44">
        <f t="shared" si="0"/>
        <v>2000</v>
      </c>
      <c r="G22" s="44">
        <f t="shared" si="0"/>
        <v>0</v>
      </c>
      <c r="H22" s="44">
        <v>14170</v>
      </c>
    </row>
    <row r="23" spans="1:8">
      <c r="A23" t="s">
        <v>152</v>
      </c>
      <c r="B23" s="44"/>
      <c r="C23" s="44"/>
      <c r="D23" s="44">
        <v>100</v>
      </c>
      <c r="E23" s="44">
        <v>3000</v>
      </c>
      <c r="F23">
        <v>100</v>
      </c>
      <c r="G23" s="44">
        <v>0</v>
      </c>
      <c r="H23" s="44">
        <v>0</v>
      </c>
    </row>
    <row r="24" spans="1:8">
      <c r="A24" t="s">
        <v>153</v>
      </c>
      <c r="B24" s="44"/>
      <c r="C24" s="44"/>
      <c r="D24" s="44">
        <f>2*D26</f>
        <v>200</v>
      </c>
      <c r="E24" s="44">
        <f t="shared" ref="E24:G24" si="1">2*E26</f>
        <v>12000</v>
      </c>
      <c r="F24" s="44">
        <f t="shared" si="1"/>
        <v>200</v>
      </c>
      <c r="G24" s="44">
        <f t="shared" si="1"/>
        <v>2000</v>
      </c>
      <c r="H24" s="44">
        <v>2367</v>
      </c>
    </row>
    <row r="25" spans="1:8">
      <c r="A25" s="66" t="s">
        <v>169</v>
      </c>
      <c r="B25" s="44"/>
      <c r="C25" s="44"/>
      <c r="D25" s="75">
        <f>D24+D23+D22+D20+D19</f>
        <v>4500</v>
      </c>
      <c r="E25" s="75">
        <f t="shared" ref="E25:H25" si="2">E24+E23+E22+E20+E19</f>
        <v>283600</v>
      </c>
      <c r="F25" s="75">
        <f t="shared" si="2"/>
        <v>3500</v>
      </c>
      <c r="G25" s="75">
        <f t="shared" si="2"/>
        <v>2000</v>
      </c>
      <c r="H25" s="75">
        <f t="shared" si="2"/>
        <v>16537</v>
      </c>
    </row>
    <row r="26" spans="1:8" s="76" customFormat="1">
      <c r="A26" s="76" t="s">
        <v>163</v>
      </c>
      <c r="B26" s="79"/>
      <c r="D26" s="76">
        <v>100</v>
      </c>
      <c r="E26" s="76">
        <v>6000</v>
      </c>
      <c r="F26" s="76">
        <v>100</v>
      </c>
      <c r="G26" s="76">
        <v>1000</v>
      </c>
      <c r="H26" s="76">
        <v>4000</v>
      </c>
    </row>
    <row r="27" spans="1:8" s="77" customFormat="1">
      <c r="A27" s="77" t="s">
        <v>162</v>
      </c>
      <c r="D27" s="78">
        <v>1</v>
      </c>
      <c r="E27" s="78">
        <v>0.25</v>
      </c>
      <c r="F27" s="78">
        <v>1</v>
      </c>
      <c r="G27" s="78">
        <v>0</v>
      </c>
      <c r="H27" s="78">
        <v>0.37</v>
      </c>
    </row>
    <row r="28" spans="1:8">
      <c r="A28" t="s">
        <v>164</v>
      </c>
      <c r="D28">
        <f>(1-D27)*D26</f>
        <v>0</v>
      </c>
      <c r="E28">
        <f t="shared" ref="E28:H28" si="3">(1-E27)*E26</f>
        <v>4500</v>
      </c>
      <c r="F28">
        <f t="shared" si="3"/>
        <v>0</v>
      </c>
      <c r="G28">
        <f t="shared" si="3"/>
        <v>1000</v>
      </c>
      <c r="H28">
        <f t="shared" si="3"/>
        <v>2520</v>
      </c>
    </row>
    <row r="29" spans="1:8">
      <c r="A29" t="s">
        <v>165</v>
      </c>
      <c r="D29" s="44">
        <v>0</v>
      </c>
      <c r="E29" s="44">
        <v>71</v>
      </c>
      <c r="F29" s="44">
        <v>0</v>
      </c>
      <c r="G29" s="44">
        <v>100</v>
      </c>
      <c r="H29" s="44">
        <v>2</v>
      </c>
    </row>
    <row r="30" spans="1:8">
      <c r="A30" t="s">
        <v>166</v>
      </c>
      <c r="D30" s="44">
        <f>D29*D28</f>
        <v>0</v>
      </c>
      <c r="E30" s="44">
        <f t="shared" ref="E30:H30" si="4">E29*E28</f>
        <v>319500</v>
      </c>
      <c r="F30" s="44">
        <f t="shared" si="4"/>
        <v>0</v>
      </c>
      <c r="G30" s="44">
        <f t="shared" si="4"/>
        <v>100000</v>
      </c>
      <c r="H30" s="44">
        <f t="shared" si="4"/>
        <v>5040</v>
      </c>
    </row>
    <row r="31" spans="1:8">
      <c r="A31" s="80" t="s">
        <v>170</v>
      </c>
      <c r="D31" s="44">
        <f>D30-D25</f>
        <v>-4500</v>
      </c>
      <c r="E31" s="44">
        <f t="shared" ref="E31:H31" si="5">E30-E25</f>
        <v>35900</v>
      </c>
      <c r="F31" s="44">
        <f t="shared" si="5"/>
        <v>-3500</v>
      </c>
      <c r="G31" s="44">
        <f t="shared" si="5"/>
        <v>98000</v>
      </c>
      <c r="H31" s="44">
        <f t="shared" si="5"/>
        <v>-11497</v>
      </c>
    </row>
    <row r="32" spans="1:8">
      <c r="A32" s="80" t="s">
        <v>171</v>
      </c>
      <c r="B32" s="44">
        <f>D31+E31+F31+G31+H31</f>
        <v>114403</v>
      </c>
    </row>
    <row r="34" spans="1:8" ht="23">
      <c r="A34" s="81" t="s">
        <v>263</v>
      </c>
      <c r="B34" t="s">
        <v>202</v>
      </c>
    </row>
    <row r="35" spans="1:8" ht="18">
      <c r="A35" s="72" t="s">
        <v>145</v>
      </c>
      <c r="B35" s="72" t="s">
        <v>161</v>
      </c>
      <c r="C35" t="s">
        <v>154</v>
      </c>
      <c r="D35" t="s">
        <v>156</v>
      </c>
      <c r="E35" t="s">
        <v>157</v>
      </c>
      <c r="F35" t="s">
        <v>158</v>
      </c>
      <c r="G35" t="s">
        <v>159</v>
      </c>
      <c r="H35" t="s">
        <v>11</v>
      </c>
    </row>
    <row r="36" spans="1:8">
      <c r="A36" t="s">
        <v>146</v>
      </c>
      <c r="B36" s="44">
        <v>30000</v>
      </c>
      <c r="C36" s="44"/>
      <c r="D36" s="44">
        <v>500</v>
      </c>
      <c r="E36" s="44">
        <v>14000</v>
      </c>
      <c r="F36" s="44">
        <v>500</v>
      </c>
      <c r="G36" s="44">
        <v>0</v>
      </c>
      <c r="H36" s="44">
        <v>0</v>
      </c>
    </row>
    <row r="37" spans="1:8">
      <c r="A37" t="s">
        <v>147</v>
      </c>
      <c r="B37" s="44">
        <v>1000</v>
      </c>
      <c r="C37" s="44"/>
      <c r="D37" s="44">
        <v>200</v>
      </c>
      <c r="E37" s="44">
        <v>600</v>
      </c>
      <c r="F37">
        <v>200</v>
      </c>
      <c r="G37" s="44">
        <v>0</v>
      </c>
      <c r="H37" s="44">
        <v>0</v>
      </c>
    </row>
    <row r="38" spans="1:8">
      <c r="A38" s="73" t="s">
        <v>167</v>
      </c>
      <c r="B38" s="74"/>
      <c r="C38" s="74"/>
      <c r="D38" s="74">
        <v>30</v>
      </c>
      <c r="E38" s="74">
        <v>40</v>
      </c>
      <c r="F38" s="73">
        <v>20</v>
      </c>
      <c r="G38" s="74">
        <v>0</v>
      </c>
      <c r="H38" s="74">
        <v>4</v>
      </c>
    </row>
    <row r="39" spans="1:8">
      <c r="A39" t="s">
        <v>168</v>
      </c>
      <c r="B39" s="44"/>
      <c r="C39" s="44"/>
      <c r="D39" s="44">
        <f>D43*D38</f>
        <v>1500</v>
      </c>
      <c r="E39" s="44">
        <f t="shared" ref="E39" si="6">E43*E38</f>
        <v>120000</v>
      </c>
      <c r="F39" s="44">
        <f t="shared" ref="F39" si="7">F43*F38</f>
        <v>1000</v>
      </c>
      <c r="G39" s="44">
        <f t="shared" ref="G39" si="8">G43*G38</f>
        <v>0</v>
      </c>
      <c r="H39" s="44">
        <f>14170/2</f>
        <v>7085</v>
      </c>
    </row>
    <row r="40" spans="1:8">
      <c r="A40" t="s">
        <v>152</v>
      </c>
      <c r="B40" s="44"/>
      <c r="C40" s="44"/>
      <c r="D40" s="44">
        <v>100</v>
      </c>
      <c r="E40" s="44">
        <v>3000</v>
      </c>
      <c r="F40">
        <v>100</v>
      </c>
      <c r="G40" s="44">
        <v>0</v>
      </c>
      <c r="H40" s="44">
        <v>0</v>
      </c>
    </row>
    <row r="41" spans="1:8">
      <c r="A41" t="s">
        <v>153</v>
      </c>
      <c r="B41" s="44"/>
      <c r="C41" s="44"/>
      <c r="D41" s="44">
        <f>2*D43</f>
        <v>100</v>
      </c>
      <c r="E41" s="44">
        <f t="shared" ref="E41" si="9">2*E43</f>
        <v>6000</v>
      </c>
      <c r="F41" s="44">
        <f t="shared" ref="F41" si="10">2*F43</f>
        <v>100</v>
      </c>
      <c r="G41" s="44">
        <f t="shared" ref="G41" si="11">2*G43</f>
        <v>0</v>
      </c>
      <c r="H41" s="44">
        <f>2367/2</f>
        <v>1183.5</v>
      </c>
    </row>
    <row r="42" spans="1:8">
      <c r="A42" s="66" t="s">
        <v>169</v>
      </c>
      <c r="B42" s="44"/>
      <c r="C42" s="44"/>
      <c r="D42" s="75">
        <f>D41+D40+D39+D37+D36</f>
        <v>2400</v>
      </c>
      <c r="E42" s="75">
        <f t="shared" ref="E42" si="12">E41+E40+E39+E37+E36</f>
        <v>143600</v>
      </c>
      <c r="F42" s="75">
        <f t="shared" ref="F42" si="13">F41+F40+F39+F37+F36</f>
        <v>1900</v>
      </c>
      <c r="G42" s="75">
        <f t="shared" ref="G42" si="14">G41+G40+G39+G37+G36</f>
        <v>0</v>
      </c>
      <c r="H42" s="75">
        <f t="shared" ref="H42" si="15">H41+H40+H39+H37+H36</f>
        <v>8268.5</v>
      </c>
    </row>
    <row r="43" spans="1:8">
      <c r="A43" s="76" t="s">
        <v>163</v>
      </c>
      <c r="B43" s="79"/>
      <c r="C43" s="76"/>
      <c r="D43" s="76">
        <v>50</v>
      </c>
      <c r="E43" s="76">
        <v>3000</v>
      </c>
      <c r="F43" s="76">
        <v>50</v>
      </c>
      <c r="G43" s="76">
        <v>0</v>
      </c>
      <c r="H43" s="76">
        <v>2000</v>
      </c>
    </row>
    <row r="44" spans="1:8">
      <c r="A44" s="77" t="s">
        <v>162</v>
      </c>
      <c r="B44" s="77"/>
      <c r="C44" s="77"/>
      <c r="D44" s="78">
        <v>1</v>
      </c>
      <c r="E44" s="78">
        <v>0.25</v>
      </c>
      <c r="F44" s="78">
        <v>1</v>
      </c>
      <c r="G44" s="78">
        <v>0</v>
      </c>
      <c r="H44" s="78">
        <v>0.37</v>
      </c>
    </row>
    <row r="45" spans="1:8">
      <c r="A45" t="s">
        <v>164</v>
      </c>
      <c r="D45">
        <f>(1-D44)*D43</f>
        <v>0</v>
      </c>
      <c r="E45">
        <f t="shared" ref="E45" si="16">(1-E44)*E43</f>
        <v>2250</v>
      </c>
      <c r="F45">
        <f t="shared" ref="F45" si="17">(1-F44)*F43</f>
        <v>0</v>
      </c>
      <c r="G45">
        <f t="shared" ref="G45" si="18">(1-G44)*G43</f>
        <v>0</v>
      </c>
      <c r="H45">
        <f t="shared" ref="H45" si="19">(1-H44)*H43</f>
        <v>1260</v>
      </c>
    </row>
    <row r="46" spans="1:8">
      <c r="A46" t="s">
        <v>165</v>
      </c>
      <c r="D46" s="44">
        <v>0</v>
      </c>
      <c r="E46" s="44">
        <v>71</v>
      </c>
      <c r="F46" s="44">
        <v>0</v>
      </c>
      <c r="G46" s="44">
        <v>100</v>
      </c>
      <c r="H46" s="44">
        <v>2</v>
      </c>
    </row>
    <row r="47" spans="1:8">
      <c r="A47" t="s">
        <v>166</v>
      </c>
      <c r="D47" s="147">
        <f>D46*D45</f>
        <v>0</v>
      </c>
      <c r="E47" s="147">
        <f t="shared" ref="E47" si="20">E46*E45</f>
        <v>159750</v>
      </c>
      <c r="F47" s="147">
        <f t="shared" ref="F47" si="21">F46*F45</f>
        <v>0</v>
      </c>
      <c r="G47" s="147">
        <f t="shared" ref="G47" si="22">G46*G45</f>
        <v>0</v>
      </c>
      <c r="H47" s="147">
        <f t="shared" ref="H47" si="23">H46*H45</f>
        <v>2520</v>
      </c>
    </row>
    <row r="48" spans="1:8">
      <c r="A48" s="80" t="s">
        <v>170</v>
      </c>
      <c r="D48" s="44">
        <f>D47-D42</f>
        <v>-2400</v>
      </c>
      <c r="E48" s="44">
        <f t="shared" ref="E48" si="24">E47-E42</f>
        <v>16150</v>
      </c>
      <c r="F48" s="44">
        <f t="shared" ref="F48" si="25">F47-F42</f>
        <v>-1900</v>
      </c>
      <c r="G48" s="44">
        <f t="shared" ref="G48" si="26">G47-G42</f>
        <v>0</v>
      </c>
      <c r="H48" s="44">
        <f t="shared" ref="H48" si="27">H47-H42</f>
        <v>-5748.5</v>
      </c>
    </row>
    <row r="49" spans="1:8">
      <c r="A49" s="80" t="s">
        <v>171</v>
      </c>
      <c r="B49" s="44">
        <f>D48+E48+F48+G48+H48</f>
        <v>6101.5</v>
      </c>
    </row>
    <row r="51" spans="1:8" ht="23">
      <c r="A51" s="81" t="s">
        <v>204</v>
      </c>
      <c r="B51" t="s">
        <v>205</v>
      </c>
    </row>
    <row r="52" spans="1:8" ht="18">
      <c r="A52" s="72" t="s">
        <v>145</v>
      </c>
      <c r="B52" s="72" t="s">
        <v>161</v>
      </c>
      <c r="C52" t="s">
        <v>154</v>
      </c>
      <c r="D52" t="s">
        <v>156</v>
      </c>
      <c r="E52" t="s">
        <v>157</v>
      </c>
      <c r="F52" t="s">
        <v>158</v>
      </c>
      <c r="G52" t="s">
        <v>159</v>
      </c>
      <c r="H52" t="s">
        <v>11</v>
      </c>
    </row>
    <row r="53" spans="1:8">
      <c r="A53" t="s">
        <v>146</v>
      </c>
      <c r="B53" s="44">
        <v>30000</v>
      </c>
      <c r="C53" s="44"/>
      <c r="D53" s="44">
        <v>100</v>
      </c>
      <c r="E53" s="44">
        <v>300</v>
      </c>
      <c r="F53" s="44">
        <v>100</v>
      </c>
      <c r="G53" s="44">
        <v>0</v>
      </c>
      <c r="H53" s="44">
        <v>0</v>
      </c>
    </row>
    <row r="54" spans="1:8">
      <c r="A54" t="s">
        <v>147</v>
      </c>
      <c r="B54" s="44">
        <v>1000</v>
      </c>
      <c r="C54" s="44"/>
      <c r="D54" s="44">
        <v>200</v>
      </c>
      <c r="E54" s="44">
        <v>600</v>
      </c>
      <c r="F54">
        <v>200</v>
      </c>
      <c r="G54" s="44">
        <v>0</v>
      </c>
      <c r="H54" s="44">
        <v>0</v>
      </c>
    </row>
    <row r="55" spans="1:8">
      <c r="A55" s="73" t="s">
        <v>167</v>
      </c>
      <c r="B55" s="74"/>
      <c r="C55" s="74"/>
      <c r="D55" s="74">
        <v>30</v>
      </c>
      <c r="E55" s="74">
        <v>40</v>
      </c>
      <c r="F55" s="73">
        <v>20</v>
      </c>
      <c r="G55" s="74">
        <v>0</v>
      </c>
      <c r="H55" s="74">
        <v>4</v>
      </c>
    </row>
    <row r="56" spans="1:8">
      <c r="A56" t="s">
        <v>168</v>
      </c>
      <c r="B56" s="44"/>
      <c r="C56" s="44"/>
      <c r="D56" s="44">
        <f>D60*D55</f>
        <v>0</v>
      </c>
      <c r="E56" s="44">
        <f t="shared" ref="E56" si="28">E60*E55</f>
        <v>0</v>
      </c>
      <c r="F56" s="44">
        <f t="shared" ref="F56" si="29">F60*F55</f>
        <v>0</v>
      </c>
      <c r="G56" s="44">
        <f t="shared" ref="G56" si="30">G60*G55</f>
        <v>0</v>
      </c>
      <c r="H56" s="44">
        <f t="shared" ref="H56" si="31">H60*H55</f>
        <v>0</v>
      </c>
    </row>
    <row r="57" spans="1:8">
      <c r="A57" t="s">
        <v>152</v>
      </c>
      <c r="B57" s="44"/>
      <c r="C57" s="44"/>
      <c r="D57" s="44">
        <v>100</v>
      </c>
      <c r="E57" s="44">
        <v>500</v>
      </c>
      <c r="F57">
        <v>100</v>
      </c>
      <c r="G57" s="44">
        <v>0</v>
      </c>
      <c r="H57" s="44">
        <v>0</v>
      </c>
    </row>
    <row r="58" spans="1:8">
      <c r="A58" t="s">
        <v>153</v>
      </c>
      <c r="B58" s="44"/>
      <c r="C58" s="44"/>
      <c r="D58" s="44">
        <f>2*D60</f>
        <v>0</v>
      </c>
      <c r="E58" s="44">
        <f t="shared" ref="E58" si="32">2*E60</f>
        <v>0</v>
      </c>
      <c r="F58" s="44">
        <f t="shared" ref="F58" si="33">2*F60</f>
        <v>0</v>
      </c>
      <c r="G58" s="44">
        <f t="shared" ref="G58" si="34">2*G60</f>
        <v>0</v>
      </c>
      <c r="H58" s="44">
        <f t="shared" ref="H58" si="35">2*H60</f>
        <v>0</v>
      </c>
    </row>
    <row r="59" spans="1:8">
      <c r="A59" s="66" t="s">
        <v>169</v>
      </c>
      <c r="B59" s="44"/>
      <c r="C59" s="44"/>
      <c r="D59" s="75">
        <f>D58+D57+D56+D54+D53</f>
        <v>400</v>
      </c>
      <c r="E59" s="75">
        <f t="shared" ref="E59" si="36">E58+E57+E56+E54+E53</f>
        <v>1400</v>
      </c>
      <c r="F59" s="75">
        <f t="shared" ref="F59" si="37">F58+F57+F56+F54+F53</f>
        <v>400</v>
      </c>
      <c r="G59" s="75">
        <f t="shared" ref="G59" si="38">G58+G57+G56+G54+G53</f>
        <v>0</v>
      </c>
      <c r="H59" s="75">
        <f t="shared" ref="H59" si="39">H58+H57+H56+H54+H53</f>
        <v>0</v>
      </c>
    </row>
    <row r="60" spans="1:8">
      <c r="A60" s="76" t="s">
        <v>163</v>
      </c>
      <c r="B60" s="79"/>
      <c r="C60" s="76"/>
      <c r="D60" s="76">
        <v>0</v>
      </c>
      <c r="E60" s="76">
        <v>0</v>
      </c>
      <c r="F60" s="76">
        <v>0</v>
      </c>
      <c r="G60" s="76">
        <v>0</v>
      </c>
      <c r="H60" s="76">
        <v>0</v>
      </c>
    </row>
    <row r="61" spans="1:8">
      <c r="A61" s="77" t="s">
        <v>162</v>
      </c>
      <c r="B61" s="77"/>
      <c r="C61" s="77"/>
      <c r="D61" s="78">
        <v>1</v>
      </c>
      <c r="E61" s="78">
        <v>0.25</v>
      </c>
      <c r="F61" s="78">
        <v>1</v>
      </c>
      <c r="G61" s="78">
        <v>0</v>
      </c>
      <c r="H61" s="78">
        <v>0.2</v>
      </c>
    </row>
    <row r="62" spans="1:8">
      <c r="A62" t="s">
        <v>164</v>
      </c>
      <c r="D62">
        <f>(1-D61)*D60</f>
        <v>0</v>
      </c>
      <c r="E62">
        <f t="shared" ref="E62" si="40">(1-E61)*E60</f>
        <v>0</v>
      </c>
      <c r="F62">
        <f t="shared" ref="F62" si="41">(1-F61)*F60</f>
        <v>0</v>
      </c>
      <c r="G62">
        <f t="shared" ref="G62" si="42">(1-G61)*G60</f>
        <v>0</v>
      </c>
      <c r="H62">
        <f t="shared" ref="H62" si="43">(1-H61)*H60</f>
        <v>0</v>
      </c>
    </row>
    <row r="63" spans="1:8">
      <c r="A63" t="s">
        <v>165</v>
      </c>
      <c r="D63" s="44">
        <v>0</v>
      </c>
      <c r="E63" s="44">
        <v>0</v>
      </c>
      <c r="F63" s="44">
        <v>0</v>
      </c>
      <c r="G63" s="44">
        <v>100</v>
      </c>
      <c r="H63" s="44">
        <v>0</v>
      </c>
    </row>
    <row r="64" spans="1:8">
      <c r="A64" t="s">
        <v>203</v>
      </c>
      <c r="D64" s="147">
        <f>D63*D62</f>
        <v>0</v>
      </c>
      <c r="E64" s="147">
        <f t="shared" ref="E64" si="44">E63*E62</f>
        <v>0</v>
      </c>
      <c r="F64" s="147">
        <f t="shared" ref="F64" si="45">F63*F62</f>
        <v>0</v>
      </c>
      <c r="G64" s="147">
        <f t="shared" ref="G64" si="46">G63*G62</f>
        <v>0</v>
      </c>
      <c r="H64" s="147">
        <f t="shared" ref="H64" si="47">H63*H62</f>
        <v>0</v>
      </c>
    </row>
    <row r="65" spans="1:8">
      <c r="A65" s="80" t="s">
        <v>170</v>
      </c>
      <c r="D65" s="44">
        <f>D64-D59</f>
        <v>-400</v>
      </c>
      <c r="E65" s="44">
        <f t="shared" ref="E65" si="48">E64-E59</f>
        <v>-1400</v>
      </c>
      <c r="F65" s="44">
        <f t="shared" ref="F65" si="49">F64-F59</f>
        <v>-400</v>
      </c>
      <c r="G65" s="44">
        <f t="shared" ref="G65" si="50">G64-G59</f>
        <v>0</v>
      </c>
      <c r="H65" s="44">
        <f t="shared" ref="H65" si="51">H64-H59</f>
        <v>0</v>
      </c>
    </row>
    <row r="66" spans="1:8">
      <c r="A66" s="80" t="s">
        <v>171</v>
      </c>
      <c r="B66" s="44">
        <f>D65+E65+F65+G65+H65</f>
        <v>-2200</v>
      </c>
    </row>
  </sheetData>
  <phoneticPr fontId="13" type="noConversion"/>
  <pageMargins left="0.75" right="0.75" top="1" bottom="1" header="0.5" footer="0.5"/>
  <pageSetup scale="98" fitToHeight="6" orientation="landscape" horizontalDpi="4294967292" verticalDpi="4294967292"/>
  <extLst>
    <ext xmlns:mx="http://schemas.microsoft.com/office/mac/excel/2008/main" uri="{64002731-A6B0-56B0-2670-7721B7C09600}">
      <mx:PLV Mode="0" OnePage="0" WScale="10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0"/>
  <sheetViews>
    <sheetView zoomScale="200" zoomScaleNormal="200" zoomScalePageLayoutView="200" workbookViewId="0">
      <selection activeCell="B20" sqref="B20"/>
    </sheetView>
  </sheetViews>
  <sheetFormatPr baseColWidth="10" defaultRowHeight="15" x14ac:dyDescent="0"/>
  <cols>
    <col min="1" max="1" width="31.6640625" customWidth="1"/>
  </cols>
  <sheetData>
    <row r="1" spans="1:7" s="150" customFormat="1" ht="30">
      <c r="A1" s="150" t="s">
        <v>206</v>
      </c>
      <c r="B1" s="150" t="s">
        <v>160</v>
      </c>
      <c r="D1" s="150" t="s">
        <v>161</v>
      </c>
      <c r="F1" s="150" t="s">
        <v>227</v>
      </c>
    </row>
    <row r="2" spans="1:7">
      <c r="A2" t="s">
        <v>207</v>
      </c>
      <c r="B2" s="44"/>
      <c r="C2" s="44"/>
      <c r="D2" s="44"/>
      <c r="E2" s="44"/>
      <c r="F2" s="44"/>
      <c r="G2" s="44"/>
    </row>
    <row r="3" spans="1:7">
      <c r="A3" s="148" t="s">
        <v>208</v>
      </c>
      <c r="B3" s="44"/>
      <c r="C3" s="44"/>
      <c r="D3" s="44"/>
      <c r="E3" s="44"/>
      <c r="F3" s="44"/>
      <c r="G3" s="44"/>
    </row>
    <row r="4" spans="1:7">
      <c r="A4" s="149" t="s">
        <v>209</v>
      </c>
      <c r="B4" s="44">
        <v>10000</v>
      </c>
      <c r="C4" s="44" t="s">
        <v>222</v>
      </c>
      <c r="D4" s="44"/>
      <c r="E4" s="44"/>
      <c r="F4" s="44"/>
      <c r="G4" s="44"/>
    </row>
    <row r="5" spans="1:7">
      <c r="A5" s="149" t="s">
        <v>210</v>
      </c>
      <c r="B5" s="44">
        <v>47000</v>
      </c>
      <c r="C5" s="44" t="s">
        <v>94</v>
      </c>
      <c r="D5" s="44"/>
      <c r="E5" s="44"/>
      <c r="F5" s="44"/>
      <c r="G5" s="44"/>
    </row>
    <row r="6" spans="1:7">
      <c r="A6" s="149" t="s">
        <v>211</v>
      </c>
      <c r="B6" s="152">
        <v>7126</v>
      </c>
      <c r="C6" s="152" t="s">
        <v>94</v>
      </c>
      <c r="D6" s="152">
        <v>10000</v>
      </c>
      <c r="E6" s="44" t="s">
        <v>223</v>
      </c>
      <c r="F6" s="44"/>
      <c r="G6" s="44"/>
    </row>
    <row r="7" spans="1:7">
      <c r="A7" s="151" t="s">
        <v>212</v>
      </c>
      <c r="B7" s="44">
        <f>SUM(B4:B6)</f>
        <v>64126</v>
      </c>
      <c r="C7" s="44"/>
      <c r="D7" s="44">
        <f>SUM(D4:D6)</f>
        <v>10000</v>
      </c>
      <c r="E7" s="44"/>
      <c r="F7" s="44"/>
      <c r="G7" s="44"/>
    </row>
    <row r="8" spans="1:7">
      <c r="A8" s="148" t="s">
        <v>213</v>
      </c>
      <c r="B8" s="44"/>
      <c r="C8" s="44"/>
      <c r="D8" s="44"/>
      <c r="E8" s="44"/>
      <c r="F8" s="44"/>
      <c r="G8" s="44"/>
    </row>
    <row r="9" spans="1:7">
      <c r="A9" s="149" t="s">
        <v>209</v>
      </c>
      <c r="B9" s="44"/>
      <c r="C9" s="44"/>
      <c r="D9" s="44">
        <v>5000</v>
      </c>
      <c r="E9" s="44"/>
      <c r="F9" s="44"/>
      <c r="G9" s="44"/>
    </row>
    <row r="10" spans="1:7">
      <c r="A10" s="149" t="s">
        <v>214</v>
      </c>
      <c r="B10" s="44"/>
      <c r="C10" s="44"/>
      <c r="D10" s="44">
        <v>38100</v>
      </c>
      <c r="E10" s="44"/>
      <c r="F10" s="44"/>
      <c r="G10" s="44"/>
    </row>
    <row r="11" spans="1:7">
      <c r="A11" s="149" t="s">
        <v>215</v>
      </c>
      <c r="B11" s="44">
        <v>3000</v>
      </c>
      <c r="C11" s="44" t="s">
        <v>226</v>
      </c>
      <c r="D11" s="44"/>
      <c r="E11" s="44"/>
      <c r="F11" s="44"/>
      <c r="G11" s="44"/>
    </row>
    <row r="12" spans="1:7">
      <c r="A12" s="149" t="s">
        <v>216</v>
      </c>
      <c r="B12" s="44">
        <v>4400</v>
      </c>
      <c r="C12" s="44" t="s">
        <v>225</v>
      </c>
      <c r="D12" s="44"/>
      <c r="E12" s="44"/>
      <c r="F12" s="44"/>
      <c r="G12" s="44"/>
    </row>
    <row r="13" spans="1:7">
      <c r="A13" s="149" t="s">
        <v>53</v>
      </c>
      <c r="B13" s="44"/>
      <c r="C13" s="44"/>
      <c r="D13" s="44">
        <v>47400</v>
      </c>
      <c r="E13" s="44"/>
      <c r="F13" s="44"/>
      <c r="G13" s="44"/>
    </row>
    <row r="14" spans="1:7">
      <c r="A14" s="149" t="s">
        <v>217</v>
      </c>
      <c r="B14" s="44"/>
      <c r="C14" s="44"/>
      <c r="D14" s="44">
        <v>118718</v>
      </c>
      <c r="E14" s="44"/>
      <c r="F14" s="44"/>
      <c r="G14" s="44"/>
    </row>
    <row r="15" spans="1:7">
      <c r="A15" s="149" t="s">
        <v>218</v>
      </c>
      <c r="B15" s="152"/>
      <c r="C15" s="152"/>
      <c r="D15" s="152">
        <v>45000</v>
      </c>
      <c r="E15" s="44">
        <v>45000</v>
      </c>
      <c r="F15" s="44"/>
      <c r="G15" s="44"/>
    </row>
    <row r="16" spans="1:7">
      <c r="A16" s="151" t="s">
        <v>212</v>
      </c>
      <c r="B16" s="44">
        <f>SUM(B9:B15)</f>
        <v>7400</v>
      </c>
      <c r="C16" s="44"/>
      <c r="D16" s="44">
        <f>SUM(D9:D15)</f>
        <v>254218</v>
      </c>
      <c r="E16" s="44"/>
      <c r="F16" s="44"/>
      <c r="G16" s="44"/>
    </row>
    <row r="17" spans="1:7">
      <c r="A17" s="148" t="s">
        <v>219</v>
      </c>
      <c r="B17" s="44"/>
      <c r="C17" s="44"/>
      <c r="D17" s="44"/>
      <c r="E17" s="44"/>
      <c r="F17" s="44"/>
      <c r="G17" s="44"/>
    </row>
    <row r="18" spans="1:7">
      <c r="A18" s="149" t="s">
        <v>209</v>
      </c>
      <c r="B18" s="44"/>
      <c r="C18" s="44"/>
      <c r="D18" s="44">
        <v>3000</v>
      </c>
      <c r="E18" s="44"/>
      <c r="F18" s="44"/>
      <c r="G18" s="44"/>
    </row>
    <row r="19" spans="1:7">
      <c r="A19" s="149" t="s">
        <v>220</v>
      </c>
      <c r="B19" s="44">
        <v>46000</v>
      </c>
      <c r="C19" s="44"/>
      <c r="D19" s="44"/>
      <c r="E19" s="44"/>
      <c r="F19" s="44"/>
      <c r="G19" s="44"/>
    </row>
    <row r="20" spans="1:7">
      <c r="A20" s="149" t="s">
        <v>221</v>
      </c>
      <c r="B20" s="152"/>
      <c r="C20" s="152"/>
      <c r="D20" s="152">
        <v>39400</v>
      </c>
      <c r="E20" s="44"/>
      <c r="F20" s="44"/>
      <c r="G20" s="44"/>
    </row>
    <row r="21" spans="1:7">
      <c r="A21" s="151" t="s">
        <v>212</v>
      </c>
      <c r="B21" s="44">
        <f>SUM(B18:B20)</f>
        <v>46000</v>
      </c>
      <c r="C21" s="44"/>
      <c r="D21" s="44">
        <f>SUM(D18:D20)</f>
        <v>42400</v>
      </c>
      <c r="E21" s="44"/>
      <c r="F21" s="44"/>
      <c r="G21" s="44"/>
    </row>
    <row r="22" spans="1:7">
      <c r="B22" s="44"/>
      <c r="C22" s="44"/>
      <c r="D22" s="44"/>
      <c r="E22" s="44"/>
      <c r="F22" s="44"/>
      <c r="G22" s="44"/>
    </row>
    <row r="23" spans="1:7">
      <c r="A23" s="69" t="s">
        <v>60</v>
      </c>
      <c r="B23" s="44"/>
      <c r="C23" s="44"/>
      <c r="D23" s="44"/>
      <c r="E23" s="44"/>
      <c r="F23" s="44"/>
      <c r="G23" s="44"/>
    </row>
    <row r="24" spans="1:7">
      <c r="A24" s="148" t="s">
        <v>219</v>
      </c>
      <c r="B24" s="44"/>
      <c r="C24" s="44"/>
      <c r="D24" s="44"/>
      <c r="E24" s="44"/>
      <c r="F24" s="44"/>
      <c r="G24" s="44"/>
    </row>
    <row r="25" spans="1:7">
      <c r="A25" s="149" t="s">
        <v>209</v>
      </c>
      <c r="B25" s="44"/>
      <c r="C25" s="44"/>
      <c r="D25" s="44">
        <v>2500</v>
      </c>
      <c r="E25" s="44"/>
    </row>
    <row r="26" spans="1:7">
      <c r="A26" s="149" t="s">
        <v>220</v>
      </c>
      <c r="B26" s="44"/>
      <c r="C26" s="44"/>
      <c r="D26" s="44">
        <v>25000</v>
      </c>
      <c r="E26" s="44"/>
    </row>
    <row r="27" spans="1:7">
      <c r="A27" s="149" t="s">
        <v>221</v>
      </c>
      <c r="B27" s="152"/>
      <c r="C27" s="152"/>
      <c r="D27" s="152"/>
      <c r="E27" s="44"/>
    </row>
    <row r="28" spans="1:7">
      <c r="A28" s="151" t="s">
        <v>212</v>
      </c>
      <c r="B28" s="44">
        <f>SUM(B25:B27)</f>
        <v>0</v>
      </c>
      <c r="C28" s="44"/>
      <c r="D28" s="44">
        <f>SUM(D25:D27)</f>
        <v>27500</v>
      </c>
      <c r="E28" s="44"/>
    </row>
    <row r="30" spans="1:7">
      <c r="A30" s="149" t="s">
        <v>224</v>
      </c>
    </row>
  </sheetData>
  <phoneticPr fontId="13" type="noConversion"/>
  <pageMargins left="0.75" right="0.75" top="0.25" bottom="0.25" header="0.5" footer="0.5"/>
  <pageSetup orientation="landscape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Budget</vt:lpstr>
      <vt:lpstr>Legal fees</vt:lpstr>
      <vt:lpstr>Ops Costs</vt:lpstr>
      <vt:lpstr>Prog Dev</vt:lpstr>
    </vt:vector>
  </TitlesOfParts>
  <Company>San Joaquin County, Department of Public Works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Thomas Flinn</dc:creator>
  <cp:lastModifiedBy>Thomas Flinn</cp:lastModifiedBy>
  <cp:lastPrinted>2015-06-17T16:17:54Z</cp:lastPrinted>
  <dcterms:created xsi:type="dcterms:W3CDTF">2015-06-11T16:37:01Z</dcterms:created>
  <dcterms:modified xsi:type="dcterms:W3CDTF">2015-06-17T16:19:06Z</dcterms:modified>
</cp:coreProperties>
</file>